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20730" windowHeight="11760" tabRatio="242" activeTab="1"/>
  </bookViews>
  <sheets>
    <sheet name="2020" sheetId="4" r:id="rId1"/>
    <sheet name="Emendas" sheetId="5" r:id="rId2"/>
  </sheets>
  <externalReferences>
    <externalReference r:id="rId3"/>
    <externalReference r:id="rId4"/>
    <externalReference r:id="rId5"/>
  </externalReferences>
  <definedNames>
    <definedName name="_xlnm._FilterDatabase" localSheetId="0" hidden="1">'2020'!$A$5:$L$43</definedName>
    <definedName name="_xlnm._FilterDatabase" localSheetId="1" hidden="1">Emendas!$A$4:$P$72</definedName>
    <definedName name="_xlnm.Print_Titles" localSheetId="0">'2020'!$1:$5</definedName>
    <definedName name="_xlnm.Print_Titles" localSheetId="1">Emendas!$1:$4</definedName>
  </definedNames>
  <calcPr calcId="144525"/>
</workbook>
</file>

<file path=xl/calcChain.xml><?xml version="1.0" encoding="utf-8"?>
<calcChain xmlns="http://schemas.openxmlformats.org/spreadsheetml/2006/main">
  <c r="K71" i="5" l="1"/>
  <c r="K69" i="5"/>
  <c r="I69" i="5"/>
  <c r="P66" i="5"/>
  <c r="K53" i="5"/>
  <c r="P53" i="5"/>
  <c r="I53" i="5"/>
  <c r="K45" i="5"/>
  <c r="I45" i="5"/>
  <c r="K6" i="5"/>
  <c r="L6" i="5"/>
  <c r="N6" i="5"/>
  <c r="P6" i="5"/>
  <c r="I6" i="5"/>
  <c r="N65" i="5" l="1"/>
  <c r="O65" i="5" s="1"/>
  <c r="M65" i="5"/>
  <c r="N64" i="5"/>
  <c r="O64" i="5" s="1"/>
  <c r="M64" i="5"/>
  <c r="N63" i="5"/>
  <c r="O63" i="5" s="1"/>
  <c r="M63" i="5"/>
  <c r="O56" i="5"/>
  <c r="M56" i="5"/>
  <c r="O55" i="5"/>
  <c r="M55" i="5"/>
  <c r="N57" i="5"/>
  <c r="L57" i="5"/>
  <c r="K57" i="5"/>
  <c r="K66" i="5" s="1"/>
  <c r="K70" i="5" s="1"/>
  <c r="I57" i="5"/>
  <c r="N62" i="5"/>
  <c r="O62" i="5" s="1"/>
  <c r="M62" i="5"/>
  <c r="O61" i="5"/>
  <c r="N61" i="5"/>
  <c r="M61" i="5"/>
  <c r="N58" i="5"/>
  <c r="O58" i="5" s="1"/>
  <c r="M58" i="5"/>
  <c r="N60" i="5"/>
  <c r="O60" i="5" s="1"/>
  <c r="M60" i="5"/>
  <c r="O59" i="5"/>
  <c r="N59" i="5"/>
  <c r="M59" i="5"/>
  <c r="L35" i="5"/>
  <c r="M35" i="5" s="1"/>
  <c r="O34" i="5"/>
  <c r="L34" i="5"/>
  <c r="M34" i="5" s="1"/>
  <c r="O44" i="5"/>
  <c r="M44" i="5"/>
  <c r="L44" i="5"/>
  <c r="L43" i="5"/>
  <c r="O43" i="5" s="1"/>
  <c r="O42" i="5"/>
  <c r="M42" i="5"/>
  <c r="L42" i="5"/>
  <c r="L41" i="5"/>
  <c r="M41" i="5" s="1"/>
  <c r="L40" i="5"/>
  <c r="O40" i="5" s="1"/>
  <c r="L39" i="5"/>
  <c r="O39" i="5" s="1"/>
  <c r="L38" i="5"/>
  <c r="M38" i="5" s="1"/>
  <c r="O37" i="5"/>
  <c r="M37" i="5"/>
  <c r="L37" i="5"/>
  <c r="L36" i="5"/>
  <c r="O36" i="5" s="1"/>
  <c r="L22" i="5"/>
  <c r="O22" i="5" s="1"/>
  <c r="M33" i="5"/>
  <c r="L33" i="5"/>
  <c r="O33" i="5" s="1"/>
  <c r="L21" i="5"/>
  <c r="M21" i="5" s="1"/>
  <c r="L26" i="5"/>
  <c r="O26" i="5" s="1"/>
  <c r="L20" i="5"/>
  <c r="O20" i="5" s="1"/>
  <c r="L23" i="5"/>
  <c r="M23" i="5" s="1"/>
  <c r="L19" i="5"/>
  <c r="O19" i="5" s="1"/>
  <c r="L30" i="5"/>
  <c r="M30" i="5" s="1"/>
  <c r="L18" i="5"/>
  <c r="O18" i="5" s="1"/>
  <c r="L32" i="5"/>
  <c r="O32" i="5" s="1"/>
  <c r="L17" i="5"/>
  <c r="M17" i="5" s="1"/>
  <c r="L29" i="5"/>
  <c r="O29" i="5" s="1"/>
  <c r="L27" i="5"/>
  <c r="O27" i="5" s="1"/>
  <c r="O25" i="5"/>
  <c r="M25" i="5"/>
  <c r="L16" i="5"/>
  <c r="O16" i="5" s="1"/>
  <c r="O15" i="5"/>
  <c r="M15" i="5"/>
  <c r="L15" i="5"/>
  <c r="L14" i="5"/>
  <c r="O14" i="5" s="1"/>
  <c r="L13" i="5"/>
  <c r="O13" i="5" s="1"/>
  <c r="L28" i="5"/>
  <c r="M28" i="5" s="1"/>
  <c r="L12" i="5"/>
  <c r="O12" i="5" s="1"/>
  <c r="O24" i="5"/>
  <c r="M24" i="5"/>
  <c r="L11" i="5"/>
  <c r="M11" i="5" s="1"/>
  <c r="L10" i="5"/>
  <c r="O10" i="5" s="1"/>
  <c r="L9" i="5"/>
  <c r="M9" i="5" s="1"/>
  <c r="L8" i="5"/>
  <c r="M8" i="5" s="1"/>
  <c r="O31" i="5"/>
  <c r="M31" i="5"/>
  <c r="N54" i="5"/>
  <c r="O54" i="5" s="1"/>
  <c r="M54" i="5"/>
  <c r="I54" i="5"/>
  <c r="O5" i="5"/>
  <c r="O6" i="5" s="1"/>
  <c r="M5" i="5"/>
  <c r="M6" i="5" s="1"/>
  <c r="P67" i="5"/>
  <c r="N67" i="5"/>
  <c r="N69" i="5" s="1"/>
  <c r="L67" i="5"/>
  <c r="N49" i="5"/>
  <c r="L49" i="5"/>
  <c r="M49" i="5" s="1"/>
  <c r="O46" i="5"/>
  <c r="M46" i="5"/>
  <c r="N47" i="5"/>
  <c r="L47" i="5"/>
  <c r="M47" i="5" s="1"/>
  <c r="P7" i="5"/>
  <c r="P45" i="5" s="1"/>
  <c r="N7" i="5"/>
  <c r="N45" i="5" s="1"/>
  <c r="L7" i="5"/>
  <c r="N50" i="5"/>
  <c r="L50" i="5"/>
  <c r="M50" i="5" s="1"/>
  <c r="O68" i="5"/>
  <c r="N68" i="5"/>
  <c r="M68" i="5"/>
  <c r="N51" i="5"/>
  <c r="O51" i="5" s="1"/>
  <c r="M51" i="5"/>
  <c r="N48" i="5"/>
  <c r="O48" i="5" s="1"/>
  <c r="M48" i="5"/>
  <c r="N52" i="5"/>
  <c r="O52" i="5" s="1"/>
  <c r="M52" i="5"/>
  <c r="M26" i="5" l="1"/>
  <c r="M14" i="5"/>
  <c r="M27" i="5"/>
  <c r="O30" i="5"/>
  <c r="M20" i="5"/>
  <c r="O41" i="5"/>
  <c r="M29" i="5"/>
  <c r="O57" i="5"/>
  <c r="O66" i="5" s="1"/>
  <c r="L66" i="5"/>
  <c r="P71" i="5"/>
  <c r="P69" i="5"/>
  <c r="P70" i="5" s="1"/>
  <c r="N71" i="5"/>
  <c r="N53" i="5"/>
  <c r="N66" i="5"/>
  <c r="M13" i="5"/>
  <c r="M32" i="5"/>
  <c r="M7" i="5"/>
  <c r="L45" i="5"/>
  <c r="O9" i="5"/>
  <c r="O67" i="5"/>
  <c r="O69" i="5" s="1"/>
  <c r="L69" i="5"/>
  <c r="L71" i="5"/>
  <c r="L53" i="5"/>
  <c r="I71" i="5"/>
  <c r="I66" i="5"/>
  <c r="I70" i="5" s="1"/>
  <c r="O49" i="5"/>
  <c r="O28" i="5"/>
  <c r="M39" i="5"/>
  <c r="M53" i="5"/>
  <c r="O11" i="5"/>
  <c r="M16" i="5"/>
  <c r="M19" i="5"/>
  <c r="M36" i="5"/>
  <c r="M57" i="5"/>
  <c r="M66" i="5" s="1"/>
  <c r="O7" i="5"/>
  <c r="O21" i="5"/>
  <c r="M40" i="5"/>
  <c r="K72" i="5"/>
  <c r="O50" i="5"/>
  <c r="O47" i="5"/>
  <c r="M67" i="5"/>
  <c r="M69" i="5" s="1"/>
  <c r="M10" i="5"/>
  <c r="M12" i="5"/>
  <c r="M18" i="5"/>
  <c r="M22" i="5"/>
  <c r="M43" i="5"/>
  <c r="O8" i="5"/>
  <c r="O17" i="5"/>
  <c r="O23" i="5"/>
  <c r="O38" i="5"/>
  <c r="O35" i="5"/>
  <c r="P72" i="5" l="1"/>
  <c r="N70" i="5"/>
  <c r="M71" i="5"/>
  <c r="I72" i="5"/>
  <c r="O71" i="5"/>
  <c r="L70" i="5"/>
  <c r="L72" i="5" s="1"/>
  <c r="O53" i="5"/>
  <c r="M45" i="5"/>
  <c r="M70" i="5" s="1"/>
  <c r="O45" i="5"/>
  <c r="N72" i="5"/>
  <c r="O70" i="5" l="1"/>
  <c r="O72" i="5" s="1"/>
  <c r="E8" i="4"/>
  <c r="E7" i="4" s="1"/>
  <c r="E6" i="4" s="1"/>
  <c r="F8" i="4"/>
  <c r="G8" i="4" s="1"/>
  <c r="J8" i="4"/>
  <c r="E9" i="4"/>
  <c r="F9" i="4"/>
  <c r="J9" i="4"/>
  <c r="E10" i="4"/>
  <c r="F10" i="4"/>
  <c r="G10" i="4"/>
  <c r="J10" i="4"/>
  <c r="E11" i="4"/>
  <c r="F11" i="4"/>
  <c r="J11" i="4"/>
  <c r="E13" i="4"/>
  <c r="G13" i="4" s="1"/>
  <c r="F13" i="4"/>
  <c r="J13" i="4"/>
  <c r="E14" i="4"/>
  <c r="F14" i="4"/>
  <c r="J14" i="4"/>
  <c r="E15" i="4"/>
  <c r="F15" i="4"/>
  <c r="J15" i="4"/>
  <c r="E16" i="4"/>
  <c r="F16" i="4"/>
  <c r="J16" i="4"/>
  <c r="E18" i="4"/>
  <c r="F18" i="4"/>
  <c r="G18" i="4" s="1"/>
  <c r="J18" i="4"/>
  <c r="E19" i="4"/>
  <c r="E17" i="4" s="1"/>
  <c r="F19" i="4"/>
  <c r="J19" i="4"/>
  <c r="E20" i="4"/>
  <c r="F20" i="4"/>
  <c r="G20" i="4" s="1"/>
  <c r="J20" i="4"/>
  <c r="E22" i="4"/>
  <c r="E21" i="4" s="1"/>
  <c r="F22" i="4"/>
  <c r="J22" i="4"/>
  <c r="E23" i="4"/>
  <c r="F23" i="4"/>
  <c r="J23" i="4"/>
  <c r="E25" i="4"/>
  <c r="F25" i="4"/>
  <c r="G25" i="4"/>
  <c r="E26" i="4"/>
  <c r="F26" i="4"/>
  <c r="E28" i="4"/>
  <c r="F28" i="4"/>
  <c r="E29" i="4"/>
  <c r="F29" i="4"/>
  <c r="E30" i="4"/>
  <c r="F30" i="4"/>
  <c r="E32" i="4"/>
  <c r="F32" i="4"/>
  <c r="E33" i="4"/>
  <c r="F33" i="4"/>
  <c r="G33" i="4"/>
  <c r="E34" i="4"/>
  <c r="F34" i="4"/>
  <c r="G34" i="4" s="1"/>
  <c r="E36" i="4"/>
  <c r="E35" i="4" s="1"/>
  <c r="F36" i="4"/>
  <c r="E37" i="4"/>
  <c r="F37" i="4"/>
  <c r="G37" i="4" s="1"/>
  <c r="E38" i="4"/>
  <c r="F38" i="4"/>
  <c r="E40" i="4"/>
  <c r="E39" i="4" s="1"/>
  <c r="F40" i="4"/>
  <c r="G40" i="4" s="1"/>
  <c r="G15" i="4" l="1"/>
  <c r="G32" i="4"/>
  <c r="G29" i="4"/>
  <c r="G26" i="4"/>
  <c r="E31" i="4"/>
  <c r="E27" i="4"/>
  <c r="E12" i="4"/>
  <c r="F35" i="4"/>
  <c r="G35" i="4" s="1"/>
  <c r="F27" i="4"/>
  <c r="F12" i="4"/>
  <c r="G22" i="4"/>
  <c r="F17" i="4"/>
  <c r="G17" i="4" s="1"/>
  <c r="G38" i="4"/>
  <c r="G30" i="4"/>
  <c r="G16" i="4"/>
  <c r="G14" i="4"/>
  <c r="G11" i="4"/>
  <c r="F21" i="4"/>
  <c r="G21" i="4" s="1"/>
  <c r="F7" i="4"/>
  <c r="G7" i="4" s="1"/>
  <c r="M72" i="5"/>
  <c r="F39" i="4"/>
  <c r="G36" i="4"/>
  <c r="F31" i="4"/>
  <c r="G28" i="4"/>
  <c r="G23" i="4"/>
  <c r="G19" i="4"/>
  <c r="G9" i="4"/>
  <c r="G27" i="4" l="1"/>
  <c r="E24" i="4"/>
  <c r="E41" i="4" s="1"/>
  <c r="G31" i="4"/>
  <c r="F6" i="4"/>
  <c r="G6" i="4" s="1"/>
  <c r="G12" i="4"/>
  <c r="G39" i="4"/>
  <c r="F24" i="4"/>
  <c r="G24" i="4" l="1"/>
  <c r="F41" i="4"/>
  <c r="G41" i="4" s="1"/>
</calcChain>
</file>

<file path=xl/sharedStrings.xml><?xml version="1.0" encoding="utf-8"?>
<sst xmlns="http://schemas.openxmlformats.org/spreadsheetml/2006/main" count="668" uniqueCount="357">
  <si>
    <t>Programa / Ação / Subação</t>
  </si>
  <si>
    <t>0061</t>
  </si>
  <si>
    <t>Promoção da Saúde</t>
  </si>
  <si>
    <t>0076</t>
  </si>
  <si>
    <t>Atendimento Ambulatorial e Hospitalar</t>
  </si>
  <si>
    <t>0000</t>
  </si>
  <si>
    <t xml:space="preserve">Atendimento Ambulatorial e Hospitalar </t>
  </si>
  <si>
    <t>2055</t>
  </si>
  <si>
    <t>Atendimento Ambulatorial e Hospitalar - CISAM</t>
  </si>
  <si>
    <t>2056</t>
  </si>
  <si>
    <t>Atendimento Ambulatorial e Hospitalar - HUOC</t>
  </si>
  <si>
    <t>2057</t>
  </si>
  <si>
    <t>Atendimento Ambulatorial e Hospitalar - PROCAPE</t>
  </si>
  <si>
    <t>0065</t>
  </si>
  <si>
    <t>Conservação e Ampliação das Unidades de Ensino e Saúde da UPE</t>
  </si>
  <si>
    <t>0072</t>
  </si>
  <si>
    <t>Conservação e Adaptação de Unidades de Saúde</t>
  </si>
  <si>
    <t>0073</t>
  </si>
  <si>
    <t>Construção e Ampliação de Unidades de Ensino</t>
  </si>
  <si>
    <t>0074</t>
  </si>
  <si>
    <t>Construção e Ampliação de Unidades de Saude</t>
  </si>
  <si>
    <t>0078</t>
  </si>
  <si>
    <t>Conservação e Adaptação de Unidades de Ensino</t>
  </si>
  <si>
    <t>0917</t>
  </si>
  <si>
    <t>Ampliação do Acesso ao Ensino Superior</t>
  </si>
  <si>
    <t>0075</t>
  </si>
  <si>
    <t>Promoção e Expansão do Ensino da Graduação</t>
  </si>
  <si>
    <t>0095</t>
  </si>
  <si>
    <t>Promoção e Expansão do Ensino de Pós-Graduação</t>
  </si>
  <si>
    <t>4314</t>
  </si>
  <si>
    <t>Promoção e Expansão da Educação à Distância</t>
  </si>
  <si>
    <t>0069</t>
  </si>
  <si>
    <t>Desenvolvimento de Pesquisa e Extensão Universitária</t>
  </si>
  <si>
    <t>0094</t>
  </si>
  <si>
    <t xml:space="preserve">Promoção da Pesquisa </t>
  </si>
  <si>
    <t>0785</t>
  </si>
  <si>
    <t>Promoção da Extensão</t>
  </si>
  <si>
    <t>0444</t>
  </si>
  <si>
    <t>Apoio Gerencial e Tecnológico às Ações Governamentais</t>
  </si>
  <si>
    <t>1583</t>
  </si>
  <si>
    <t>Pagamento de Obrigações Patronais das Unidades de Saúde ao FUNAFIN</t>
  </si>
  <si>
    <t>1585</t>
  </si>
  <si>
    <t>Pagamento de Obrigações Patronais das Unidades de Ensino ao FUNAFIN</t>
  </si>
  <si>
    <t>2205</t>
  </si>
  <si>
    <t>Operacionalização do Acesso à Rede Digital Corporativa de Governo da UPE</t>
  </si>
  <si>
    <t>Demais gastos com a Operacionalização da Rede Gigital</t>
  </si>
  <si>
    <t>0158</t>
  </si>
  <si>
    <t>Manutenção de Rede Digital Corporativa de Governo - UPE</t>
  </si>
  <si>
    <t>1094</t>
  </si>
  <si>
    <t>2519</t>
  </si>
  <si>
    <t>Gestão Administrativa da Reitoria</t>
  </si>
  <si>
    <t>2054</t>
  </si>
  <si>
    <t>Ressarcimento sobre Pessoal a Disposição da UPE</t>
  </si>
  <si>
    <t>4399</t>
  </si>
  <si>
    <t>3208</t>
  </si>
  <si>
    <t>Encargos Gerais da UPE</t>
  </si>
  <si>
    <t>Pagamento de Obrigações Patronais das Unidades de Saúde ao FUNAPREV</t>
  </si>
  <si>
    <t>Pagamento de Obrigações Patronais das Unidades de Ensino ao FUNAPREV</t>
  </si>
  <si>
    <t>1077</t>
  </si>
  <si>
    <t>Manutenção da Ouvidoria da Universidade de Pernambuco</t>
  </si>
  <si>
    <t>4595</t>
  </si>
  <si>
    <t>Manutenção da Ouvidoria da UPE</t>
  </si>
  <si>
    <t>TOTAL GERAL</t>
  </si>
  <si>
    <t>Gestão das atividades da Reitoria da UPE</t>
  </si>
  <si>
    <t>Gestão das atividades das Unidades de Ensino da Universidade de Pernambuco</t>
  </si>
  <si>
    <t>Manutenção de Rede Digital Corporativa de Governo - Reitoria</t>
  </si>
  <si>
    <t>RESOLUÇÃO TC 65 DE 04 DE DEZEMBRO DE 2019</t>
  </si>
  <si>
    <t>ANEXO XIX</t>
  </si>
  <si>
    <t>Dotação Autorizada</t>
  </si>
  <si>
    <t>Despesa Liquidada</t>
  </si>
  <si>
    <t>Produto</t>
  </si>
  <si>
    <t>% Exe cução</t>
  </si>
  <si>
    <t>Comentários</t>
  </si>
  <si>
    <t>Indicador do Programa</t>
  </si>
  <si>
    <t>Demais Encargos Gerias</t>
  </si>
  <si>
    <t>2113</t>
  </si>
  <si>
    <t>2114</t>
  </si>
  <si>
    <t>Sem incluir Emendas Estaduais Parlamentares</t>
  </si>
  <si>
    <t>Aluno Matriculado</t>
  </si>
  <si>
    <t>Pesquida Desenvolvida</t>
  </si>
  <si>
    <t>Projeto Desenvolvido</t>
  </si>
  <si>
    <t>Atendimento Realizado</t>
  </si>
  <si>
    <t>Unidade Mantida</t>
  </si>
  <si>
    <t>Ação Executada</t>
  </si>
  <si>
    <t>Rede Mantida</t>
  </si>
  <si>
    <t>Ouvidoria Mantida</t>
  </si>
  <si>
    <t>Unidade Construída</t>
  </si>
  <si>
    <t>Contribuição Efetuada</t>
  </si>
  <si>
    <r>
      <t>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   Construído</t>
    </r>
  </si>
  <si>
    <t>Meta Física</t>
  </si>
  <si>
    <t>Prevista</t>
  </si>
  <si>
    <t>Sem Indicador</t>
  </si>
  <si>
    <t>A metodologia adotada para elaboração do PPA, define os indicadores por objetivos estratégicos e não diretamente por programa. Sendo que os programas estão associados aos objetivos estratégicos, indiretamente há um rebatimento nos programas a eles vinculados. A SEPLAG, órgão coordenador da elaboração do PPA, está empenhada em aprimorar, a cada ano, a questão dos indicadores por programa e futuramente irá criar um indicador para os principais programas de governo.</t>
  </si>
  <si>
    <t>Execu tada</t>
  </si>
  <si>
    <t>Pessoa Atendida</t>
  </si>
  <si>
    <t>RELATÓRIO DE DESEMPENHO DA GESTÃO UPE - EXERCÍCIO 2020 - UPE</t>
  </si>
  <si>
    <t xml:space="preserve">Não foi posível atingir a meta em virtude da necessidade de suspensão dos atendimentos ambulatoriais a partir de abril/2020 em virtude da Pandemia pelo coronavírus. </t>
  </si>
  <si>
    <t>Acréscimo devido a demanda represada pelo IMIP, que se tornou referência em atendimento a gestantes com COVID, não mais atendendo outros casos obstétricos/ginecológicos como também acréscimo significativo de pacientes oriundos do interior.</t>
  </si>
  <si>
    <t>Considerando que 2020 foi um ano atípico em que o HUOC, cumprindo seu perfil de atendimento às doenças infecto- parasitárias, se organizou para atender pacientes com suspeita e/ou confirmação da covid-19 em leitos de enfermaria e UTI adulto e pediátrico, vários serviços planejados foram executados e outros foram suspensos como as cirurgias e internamentos eletivos de outras clínicas. O HUOC como Centro de Referência Estadual protagonizou técnica e operacionalmente a condução estadual da pandemia. Assim, tivemos aporte extra orçamentário e financeiro para atender as necessidades do atendimento covid.</t>
  </si>
  <si>
    <t>Ação não executada em 2020, vez que foi pactuada com o governo do Estado já em final de exercício para construção da Casa do Parto Normal (CPN), sendo este valor liberado para início do processo com a contratação dos projetos mas não houve como finalizar a licitação, empenhar e liquidar no exercício.</t>
  </si>
  <si>
    <t>Manuteção do 03 Hospitais da UPE, CISAM e HUOC e PROCAPE</t>
  </si>
  <si>
    <t>Devido a Pandemia do Coronavirus, houve redução dos internamentos cirúrgicos devido à suspensão das cirurgias eletivas através do Decreto do MS, como também,  de internamentos Clínicos,fechamento dos Ambulatórios, como também, dos Exames Diagnósticos. Sendo realizadas apenas as Cirurgias e Procedimentos de Urgência. Além dos leitos bloqueados, devido o déficit acentuado de servidores por licenças médicas.</t>
  </si>
  <si>
    <t>Coberta da Quadra  de Nazare da Mata com andamento satisfatorio, não houve o repasse da 2ª parcela do convênio interferindo na conclusão da obra.O serviço de Implantação de rampas e Elevador em Garanhuns esta concluido inclusive com acrescimo de rampas.Não será instalado o Elevador.A Quadra e o Espaço de Convivência do Campus Petrolina não tiveram desempenho satisfatorio  a empresa realizou 36,49% e 32,77% respectivamente de cada obra justificando na pandemia do Covid-19</t>
  </si>
  <si>
    <t>Manutenção de todas as Unidades de Ensino da UPE: ESEF, FCAP, FCM, FENSG, FOP, ICB, POLI, Garanhuns, Arcoverde, Caruaru, Salgueiro, Serra Talhada, Petrolina, Nazaré da Mata e Palmares</t>
  </si>
  <si>
    <t>Houve erro de digitação na meta fisica prevista, pois deveria se apenas 1, uma vez que essa Ação destina-se exclusivamente para execução pela Reitoria da UPE</t>
  </si>
  <si>
    <t>Manutenção da Ouvidoria foi executado dentro da Ação 2519 pois a mesma fica localizada na Reitoria e seus custos forma bem reduzidos</t>
  </si>
  <si>
    <t>Ação nova implantada em 2020 e desta forma houve equivoco na projeção da meta financeira. No entanto ação totalmente executada</t>
  </si>
  <si>
    <t>Nesta Ação ssão empenhadas despesas com energia elétrica, água e esgoto, contratação de terceirizados e em razão da pandemia, tais despesas foram reduzidas tendo em vista a não existência de aulas presenciais</t>
  </si>
  <si>
    <t>Os cursos de EAD da UPE são financiados com recursos de Convênios Federais e dependemos da liberação dos mesmos para execução dos recursos. O Aumento da Matrícula se deu em razão no novo processo seletivo da CAPES que estabeleceu as vagas disponiíveis para a UPE, mais o somatório de alunos retidos de exercícios anteriores. Devido a pandemia, durante o exercicio houve a redução de algumas despesas tais como, reuniões pedagógicas, visistas aos polos de apoio presencial e o não envio de supervisor para as provas presenciais. No entanto em nada prejudicou a qualidade dos cursos ofertadas tendo em vista a melhoiria dos trabalhos remotos e o investimento na qualidade da internet</t>
  </si>
  <si>
    <r>
      <t xml:space="preserve">Devido a Pandemia do Coronavirus, houve redução de matrícula dos cursos de </t>
    </r>
    <r>
      <rPr>
        <i/>
        <sz val="12"/>
        <rFont val="Arial"/>
        <family val="2"/>
      </rPr>
      <t xml:space="preserve">lato sensu </t>
    </r>
    <r>
      <rPr>
        <sz val="12"/>
        <rFont val="Arial"/>
        <family val="2"/>
      </rPr>
      <t>ofertados pela UPE</t>
    </r>
  </si>
  <si>
    <t>AÇÃO</t>
  </si>
  <si>
    <t>SUB AÇÃO</t>
  </si>
  <si>
    <t>GND</t>
  </si>
  <si>
    <t>ANO</t>
  </si>
  <si>
    <t>EMENDA</t>
  </si>
  <si>
    <t>DEPUTADO</t>
  </si>
  <si>
    <t>UGE BENEFI CIADA</t>
  </si>
  <si>
    <t>OBJETO</t>
  </si>
  <si>
    <t>PF LIBERADA SEFAZ</t>
  </si>
  <si>
    <t>EMPENHO</t>
  </si>
  <si>
    <t>Saldo a Empenhar</t>
  </si>
  <si>
    <t>LIQUIDADO</t>
  </si>
  <si>
    <t>Empenho a Liquidar</t>
  </si>
  <si>
    <t>Pago em 2020</t>
  </si>
  <si>
    <t>EH2Y</t>
  </si>
  <si>
    <t>4490</t>
  </si>
  <si>
    <t>2020</t>
  </si>
  <si>
    <t>Romario Dias</t>
  </si>
  <si>
    <t>Garanhuns</t>
  </si>
  <si>
    <t>Aquisição equipamentos para criação de ambientes de acesso a internet para a comunidade universitária</t>
  </si>
  <si>
    <t xml:space="preserve">PF Liberada em 17/11/2020. </t>
  </si>
  <si>
    <t>E576</t>
  </si>
  <si>
    <t>Priscila Krause</t>
  </si>
  <si>
    <t>Aquisição de equipamentos</t>
  </si>
  <si>
    <t>EH1E</t>
  </si>
  <si>
    <t>EHWP</t>
  </si>
  <si>
    <t>3390</t>
  </si>
  <si>
    <t>João Paulo</t>
  </si>
  <si>
    <t xml:space="preserve">Promover economia solidária e formção aos residentes e usuários das redes de serviços de saúde e do programa Atitude das Áreas de cobertura dos programas de Residência Multiprofissional em Saúde Mental (RMSM), Multiprofissional em Saúde Mental de Garanhus, Multiprofissional Integrada em Saúde da Família (RMISF) e Multiprofissional Integrada em Saúde da Familia com ênfase a saúde da população do campo (RMSFC), na modalidade e Extensão Universitárias </t>
  </si>
  <si>
    <t>EGXJ</t>
  </si>
  <si>
    <t>Alberto Feitosa</t>
  </si>
  <si>
    <t>FOP</t>
  </si>
  <si>
    <t>Aquisição de equipamentos para a reestruturação das clinicas e salas de aula</t>
  </si>
  <si>
    <t>PF Liberada em 30/10/2020.</t>
  </si>
  <si>
    <t>EGHV</t>
  </si>
  <si>
    <t>Lucas Ramos</t>
  </si>
  <si>
    <t>Petrolina</t>
  </si>
  <si>
    <t xml:space="preserve">Elaboração de projeto executivo para construção da Clínica-Escola de Fisioterapia no Campus Petrolina </t>
  </si>
  <si>
    <t>PF Liberada em 16/12/2020.</t>
  </si>
  <si>
    <t>E625</t>
  </si>
  <si>
    <t>Antonio Coelho</t>
  </si>
  <si>
    <t>Conservação e adequação das dependências de Petrolina para proporcionar melhor qualidade ao ensino, abrangendo: Requalificação e readequação das instalações elétricas do campus</t>
  </si>
  <si>
    <t>EH3B</t>
  </si>
  <si>
    <t>3350</t>
  </si>
  <si>
    <t>Dulcicleide Amorim</t>
  </si>
  <si>
    <t>E624</t>
  </si>
  <si>
    <t xml:space="preserve">Aquisição de equipamentos para implantação da RNP (Servidor, swift e acessórios) </t>
  </si>
  <si>
    <t>EH3A</t>
  </si>
  <si>
    <t xml:space="preserve">EI0L </t>
  </si>
  <si>
    <t>Jose Queiroz</t>
  </si>
  <si>
    <t>Caruaru</t>
  </si>
  <si>
    <t>Construção do Campus da UPE na Cidade de Caruaru</t>
  </si>
  <si>
    <t>E651</t>
  </si>
  <si>
    <t>Clovis Paiva</t>
  </si>
  <si>
    <t>HUOC</t>
  </si>
  <si>
    <t>Compra de equipamentos de proteção individual</t>
  </si>
  <si>
    <t xml:space="preserve">EGCQ </t>
  </si>
  <si>
    <t>2018</t>
  </si>
  <si>
    <t>Francismar Pontes</t>
  </si>
  <si>
    <t>PROCAPE</t>
  </si>
  <si>
    <t>1830</t>
  </si>
  <si>
    <t>José Humberto Cavalcanti</t>
  </si>
  <si>
    <t>Orçamento somente saiu com o Decreto  49.886 em 03/12/2020 . PF Liberada em 16/12/2020.</t>
  </si>
  <si>
    <t>1831</t>
  </si>
  <si>
    <t>Joaquim Lira</t>
  </si>
  <si>
    <t>1832</t>
  </si>
  <si>
    <t>Antônio Moraes</t>
  </si>
  <si>
    <t>1833</t>
  </si>
  <si>
    <t>Aluísio Lessa</t>
  </si>
  <si>
    <t>EFU1</t>
  </si>
  <si>
    <t>Waldemar Borges</t>
  </si>
  <si>
    <t>1834</t>
  </si>
  <si>
    <t>Romário Dias</t>
  </si>
  <si>
    <t>EGAG</t>
  </si>
  <si>
    <t>1835</t>
  </si>
  <si>
    <t>Rodrigo Novaes</t>
  </si>
  <si>
    <t>1836</t>
  </si>
  <si>
    <t>Zé Maurício</t>
  </si>
  <si>
    <t>1837</t>
  </si>
  <si>
    <t>Tony Gel</t>
  </si>
  <si>
    <t>1838</t>
  </si>
  <si>
    <t>Terezinha Nunes</t>
  </si>
  <si>
    <t>EFV1</t>
  </si>
  <si>
    <t>Laura Gomes</t>
  </si>
  <si>
    <t>EFZY</t>
  </si>
  <si>
    <t>Simone Santana</t>
  </si>
  <si>
    <t xml:space="preserve">EGCH </t>
  </si>
  <si>
    <t>Eduíno Brito</t>
  </si>
  <si>
    <t>1840</t>
  </si>
  <si>
    <t>Socorro Pimentel</t>
  </si>
  <si>
    <t>EGCS</t>
  </si>
  <si>
    <t>Guilherme Uchoa</t>
  </si>
  <si>
    <t>1841</t>
  </si>
  <si>
    <t>Odacy Amorim</t>
  </si>
  <si>
    <t>EGCP</t>
  </si>
  <si>
    <t>Ricardo Costa</t>
  </si>
  <si>
    <t>1844</t>
  </si>
  <si>
    <t>Rogério Leão</t>
  </si>
  <si>
    <t>E399</t>
  </si>
  <si>
    <t>Claudiano Martins Filho</t>
  </si>
  <si>
    <t>1845</t>
  </si>
  <si>
    <t>EFX9</t>
  </si>
  <si>
    <t>Cleiton Collins</t>
  </si>
  <si>
    <t>1846</t>
  </si>
  <si>
    <t>Jadeval de Lima</t>
  </si>
  <si>
    <t>EGD5</t>
  </si>
  <si>
    <t>Adalto Santos</t>
  </si>
  <si>
    <t>E346</t>
  </si>
  <si>
    <t>Augusto César</t>
  </si>
  <si>
    <t>EGH6</t>
  </si>
  <si>
    <t>2019</t>
  </si>
  <si>
    <t>Expansão do Pronto Socorro Cardiológico</t>
  </si>
  <si>
    <t>EGII</t>
  </si>
  <si>
    <t>Eriberto Medeiros</t>
  </si>
  <si>
    <t>Retomada da construção do Prédio anexo com o objetivo de ampliar as internações dos pacientes do SUS</t>
  </si>
  <si>
    <t>EGMM</t>
  </si>
  <si>
    <t>Retomada da construção do prédio anexo do PROCAPE</t>
  </si>
  <si>
    <t>EGNB</t>
  </si>
  <si>
    <t>EGPD</t>
  </si>
  <si>
    <t>Nilton Mota</t>
  </si>
  <si>
    <t>Expansão do Prédio Anexo do Procape/UPE com a finalidade de ampliar e melhorar o atendimento aos pacientes cardiológicos do estado.</t>
  </si>
  <si>
    <t>EGQG</t>
  </si>
  <si>
    <t>EGS0</t>
  </si>
  <si>
    <t>Auxiliar a concretização da Construção do Prédio Anexo</t>
  </si>
  <si>
    <t>EGS7</t>
  </si>
  <si>
    <t>Pastor Cleiton Collins</t>
  </si>
  <si>
    <t>EGTW</t>
  </si>
  <si>
    <t>EGG3</t>
  </si>
  <si>
    <t>EGGE</t>
  </si>
  <si>
    <t>EGWY</t>
  </si>
  <si>
    <t xml:space="preserve">Aquisição de tomógrafo </t>
  </si>
  <si>
    <t>PF Liberada em 21/12/20</t>
  </si>
  <si>
    <t>EGXK</t>
  </si>
  <si>
    <t>Aquisição de tomógrafo</t>
  </si>
  <si>
    <t>EGUV</t>
  </si>
  <si>
    <t>Joel da Harpa</t>
  </si>
  <si>
    <t>EGZC</t>
  </si>
  <si>
    <t>Professor Paulo Dutra</t>
  </si>
  <si>
    <t>Aquisição de tomógrafo de 128 canais</t>
  </si>
  <si>
    <t>EGZQ</t>
  </si>
  <si>
    <t>William Brigido</t>
  </si>
  <si>
    <t xml:space="preserve">E552 </t>
  </si>
  <si>
    <t>Marco Aurelio Meu Amigo</t>
  </si>
  <si>
    <t>EH1X</t>
  </si>
  <si>
    <t>4450</t>
  </si>
  <si>
    <t>Antonio Fernando</t>
  </si>
  <si>
    <t>EH3X</t>
  </si>
  <si>
    <t>Delegado Erick Lessa</t>
  </si>
  <si>
    <t>EH5N</t>
  </si>
  <si>
    <t>Fabrizio Ferraz</t>
  </si>
  <si>
    <t>EHW5</t>
  </si>
  <si>
    <t>Manoel Ferreira</t>
  </si>
  <si>
    <t>EHWX</t>
  </si>
  <si>
    <t>33 - DESPESAS CORRENTES</t>
  </si>
  <si>
    <t>44 - DESPESAS DE CAPITAL</t>
  </si>
  <si>
    <t>VALOR EMENDA</t>
  </si>
  <si>
    <t>RELATÓRIO DE DESEMPENHO DA GESTÃO UPE - EXERCÍCIO 2020 - UPE - EMENDAS PARLAMENTARES</t>
  </si>
  <si>
    <t>COMENTÁRIOS</t>
  </si>
  <si>
    <t>442/ 2019</t>
  </si>
  <si>
    <t>386/ 2020</t>
  </si>
  <si>
    <t>386/ 2019</t>
  </si>
  <si>
    <t>716/ 2019</t>
  </si>
  <si>
    <t>236/ 2019</t>
  </si>
  <si>
    <t>132/ 2018</t>
  </si>
  <si>
    <t>253/ 2019</t>
  </si>
  <si>
    <t>455/ 2019</t>
  </si>
  <si>
    <t>454/ 2019</t>
  </si>
  <si>
    <t>856/ 2019</t>
  </si>
  <si>
    <t>690/ 2019</t>
  </si>
  <si>
    <t>020/ 2017</t>
  </si>
  <si>
    <t>035/ 2017</t>
  </si>
  <si>
    <t>068/ 2017</t>
  </si>
  <si>
    <t>104/ 2017</t>
  </si>
  <si>
    <t>134/ 2017</t>
  </si>
  <si>
    <t>157/ 2017</t>
  </si>
  <si>
    <t>182/ 2017</t>
  </si>
  <si>
    <t>211/ 2017</t>
  </si>
  <si>
    <t>237/ 2017</t>
  </si>
  <si>
    <t>251/ 2017</t>
  </si>
  <si>
    <t>260/ 2017</t>
  </si>
  <si>
    <t>294/ 2017</t>
  </si>
  <si>
    <t>302/ 2017</t>
  </si>
  <si>
    <t>363/ 2017</t>
  </si>
  <si>
    <t>391/ 2017</t>
  </si>
  <si>
    <t>422/ 2017</t>
  </si>
  <si>
    <t>436/ 2017</t>
  </si>
  <si>
    <t>459/ 2017</t>
  </si>
  <si>
    <t>482/ 2017</t>
  </si>
  <si>
    <t>541/ 2017</t>
  </si>
  <si>
    <t>600/ 2017</t>
  </si>
  <si>
    <t>612/ 2017</t>
  </si>
  <si>
    <t>644/ 2017</t>
  </si>
  <si>
    <t>728/ 2017</t>
  </si>
  <si>
    <t>741/ 2017</t>
  </si>
  <si>
    <t>746/ 2017</t>
  </si>
  <si>
    <t>106/ 2018</t>
  </si>
  <si>
    <t>155/ 2018</t>
  </si>
  <si>
    <t>303/ 2018</t>
  </si>
  <si>
    <t>329/ 2018</t>
  </si>
  <si>
    <t>403/ 2018</t>
  </si>
  <si>
    <t>449/ 2018</t>
  </si>
  <si>
    <t>506/ 2018</t>
  </si>
  <si>
    <t>513/ 2018</t>
  </si>
  <si>
    <t>574/ 2018</t>
  </si>
  <si>
    <t>66/ 2018</t>
  </si>
  <si>
    <t>78/ 2018</t>
  </si>
  <si>
    <t>197/ 2019</t>
  </si>
  <si>
    <t>237/ 2019</t>
  </si>
  <si>
    <t>28/ 2019</t>
  </si>
  <si>
    <t>309/ 2019</t>
  </si>
  <si>
    <t>324/ 2019</t>
  </si>
  <si>
    <t>330/ 2019  341/ 2019</t>
  </si>
  <si>
    <t>405/ 2019</t>
  </si>
  <si>
    <t>477/ 2019</t>
  </si>
  <si>
    <t>539/ 2019</t>
  </si>
  <si>
    <t>696/ 2019</t>
  </si>
  <si>
    <t>724/ 2019</t>
  </si>
  <si>
    <t>Solicitado para tirar do IAUPE</t>
  </si>
  <si>
    <t>Aquisição de tomógrafo através do IAUPE</t>
  </si>
  <si>
    <t>Espaços adequados à oferta de Serviços Educacionais e de Saúde, com o projeto de Construção e Ampliação de Unidades de Saúde, do PROCAPE</t>
  </si>
  <si>
    <t xml:space="preserve">Ampliação de 176 leitos para os pacientes cardiopatas </t>
  </si>
  <si>
    <t>Construção do Prédio Anexo ao PROCAPE</t>
  </si>
  <si>
    <t xml:space="preserve">Retomada da Construção do Prédio Anexo  </t>
  </si>
  <si>
    <t>Proporcionar mais espaços no Procape para a oferta de Serviços de Saúde.</t>
  </si>
  <si>
    <t>Retomada da Construção do Prédio Anexo do PROCAPE</t>
  </si>
  <si>
    <t>O objetivo é construir o prédio anexo, visando à ampliação de 176 leitos para pacientes cardiopatas</t>
  </si>
  <si>
    <t xml:space="preserve">Retomada da "Construção do Prédio Anexo" </t>
  </si>
  <si>
    <t>Apoio à Construção do Prédio Anexo, visando à ampliação de 176 leitos para os pacientes cardiopatas,</t>
  </si>
  <si>
    <t xml:space="preserve">Elaboração do projeto arquitetônico e de engenharia da "Construção do Prédio Anexo" </t>
  </si>
  <si>
    <t>Aquisição de equipamentos para retomada da construção do prédio anexo ao PROCAPE.</t>
  </si>
  <si>
    <t xml:space="preserve">Ampliação do PROCAPE </t>
  </si>
  <si>
    <t>Ampliação e construção do Prédio Anexo PROCAPE</t>
  </si>
  <si>
    <t xml:space="preserve">Elaboração do Projeto Arquitetônico e de Engenharia para a retomada da " Construção do Prédio Anexo" </t>
  </si>
  <si>
    <t xml:space="preserve">Apoio a elaboração do Projeto Arquitetônico e de Engenharia para a retomada da Construção do Prédio Anexo </t>
  </si>
  <si>
    <t>Ampliação de 176 leitos para os pacientes cardiopatas</t>
  </si>
  <si>
    <t>PF Liberada em 30/10/2020</t>
  </si>
  <si>
    <t>PF Solicitada 1353 em 18/02/20. PF somente liberada em 03/12/2020.</t>
  </si>
  <si>
    <t>PF Liberada em 30/10/2020.  Os R$30.000,00 empenhados refere-se ao pagamento de bolsistas</t>
  </si>
  <si>
    <t>PF Liberada em 30/10/2020. Processo licitatório da obra em andamento. Para 2020 somente será possivel o empenha mento dos projetos executivos de engenharia. A obra ficará para 2021</t>
  </si>
  <si>
    <t xml:space="preserve"> Total Construção e Ampliação de Unidades de Ensino</t>
  </si>
  <si>
    <t>Total Construção e Ampliação de Unidades de Saúde</t>
  </si>
  <si>
    <t>Total Promoção e Expansão do Ensino da Graduação</t>
  </si>
  <si>
    <t xml:space="preserve">Total Atendimento Ambulatorial e Hospitalar </t>
  </si>
  <si>
    <t>Total Promoção da Extensão</t>
  </si>
  <si>
    <t>Projetos de pesquisa da UPE, sobretudo na formação de professores do município de Petrolina - Apoio ao CLISERTÃO</t>
  </si>
  <si>
    <t>Prover o IAUPE de recursos para que possa viabilizar acesso à  internet a alunos do municipio de Petrolina</t>
  </si>
  <si>
    <t>Solicitado a Deputada a correção da Emenda, para tirar do IAUPE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</si>
</sst>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rgb="FF222222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222222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3" fontId="0" fillId="0" borderId="0" xfId="0" applyNumberFormat="1"/>
    <xf numFmtId="0" fontId="4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4" fillId="0" borderId="0" xfId="0" applyFont="1"/>
    <xf numFmtId="3" fontId="3" fillId="0" borderId="16" xfId="0" applyNumberFormat="1" applyFont="1" applyBorder="1" applyAlignment="1">
      <alignment vertical="center"/>
    </xf>
    <xf numFmtId="49" fontId="2" fillId="4" borderId="18" xfId="0" applyNumberFormat="1" applyFont="1" applyFill="1" applyBorder="1" applyAlignment="1">
      <alignment horizontal="center" vertical="center"/>
    </xf>
    <xf numFmtId="49" fontId="2" fillId="4" borderId="19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 wrapText="1"/>
    </xf>
    <xf numFmtId="3" fontId="3" fillId="4" borderId="16" xfId="0" applyNumberFormat="1" applyFont="1" applyFill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vertical="center" wrapText="1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4" fontId="2" fillId="0" borderId="2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vertical="center"/>
    </xf>
    <xf numFmtId="4" fontId="2" fillId="2" borderId="17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2" borderId="17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16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8" fillId="0" borderId="0" xfId="0" applyFont="1"/>
    <xf numFmtId="49" fontId="7" fillId="0" borderId="15" xfId="0" applyNumberFormat="1" applyFont="1" applyBorder="1" applyAlignment="1">
      <alignment horizontal="center" vertical="center" wrapText="1"/>
    </xf>
    <xf numFmtId="0" fontId="6" fillId="0" borderId="0" xfId="0" applyFont="1"/>
    <xf numFmtId="49" fontId="7" fillId="0" borderId="15" xfId="0" applyNumberFormat="1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" fontId="2" fillId="4" borderId="16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4" borderId="24" xfId="0" applyNumberFormat="1" applyFont="1" applyFill="1" applyBorder="1" applyAlignment="1">
      <alignment horizontal="left" vertical="center" wrapText="1"/>
    </xf>
    <xf numFmtId="0" fontId="3" fillId="4" borderId="26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10" fillId="0" borderId="25" xfId="0" applyFont="1" applyBorder="1" applyAlignment="1">
      <alignment horizontal="justify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4" borderId="16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3" borderId="8" xfId="0" applyNumberFormat="1" applyFont="1" applyFill="1" applyBorder="1" applyAlignment="1">
      <alignment horizontal="left" vertical="center" wrapText="1"/>
    </xf>
    <xf numFmtId="0" fontId="10" fillId="0" borderId="0" xfId="0" applyFont="1"/>
    <xf numFmtId="49" fontId="2" fillId="0" borderId="39" xfId="0" applyNumberFormat="1" applyFont="1" applyFill="1" applyBorder="1" applyAlignment="1">
      <alignment horizontal="center" vertical="center" wrapText="1"/>
    </xf>
    <xf numFmtId="49" fontId="7" fillId="4" borderId="39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4" fontId="3" fillId="4" borderId="40" xfId="0" applyNumberFormat="1" applyFont="1" applyFill="1" applyBorder="1" applyAlignment="1">
      <alignment horizontal="right" vertical="center" wrapText="1"/>
    </xf>
    <xf numFmtId="0" fontId="12" fillId="0" borderId="0" xfId="0" applyFont="1"/>
    <xf numFmtId="49" fontId="2" fillId="0" borderId="40" xfId="0" applyNumberFormat="1" applyFont="1" applyFill="1" applyBorder="1" applyAlignment="1">
      <alignment horizontal="center" vertical="center" wrapText="1"/>
    </xf>
    <xf numFmtId="49" fontId="2" fillId="4" borderId="40" xfId="0" applyNumberFormat="1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left" vertical="center" wrapText="1"/>
    </xf>
    <xf numFmtId="4" fontId="2" fillId="4" borderId="40" xfId="0" applyNumberFormat="1" applyFont="1" applyFill="1" applyBorder="1" applyAlignment="1">
      <alignment horizontal="right" vertical="center" wrapText="1"/>
    </xf>
    <xf numFmtId="49" fontId="2" fillId="4" borderId="40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" fontId="2" fillId="0" borderId="40" xfId="0" applyNumberFormat="1" applyFont="1" applyFill="1" applyBorder="1" applyAlignment="1">
      <alignment horizontal="right" vertical="center" wrapText="1"/>
    </xf>
    <xf numFmtId="4" fontId="3" fillId="0" borderId="40" xfId="0" applyNumberFormat="1" applyFont="1" applyFill="1" applyBorder="1" applyAlignment="1">
      <alignment horizontal="right" vertical="center" wrapText="1"/>
    </xf>
    <xf numFmtId="4" fontId="2" fillId="5" borderId="39" xfId="0" applyNumberFormat="1" applyFont="1" applyFill="1" applyBorder="1" applyAlignment="1">
      <alignment horizontal="right" vertical="center" wrapText="1"/>
    </xf>
    <xf numFmtId="4" fontId="2" fillId="0" borderId="40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4" fontId="2" fillId="0" borderId="46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4" fontId="3" fillId="4" borderId="46" xfId="0" applyNumberFormat="1" applyFont="1" applyFill="1" applyBorder="1" applyAlignment="1">
      <alignment horizontal="right" vertical="center" wrapText="1"/>
    </xf>
    <xf numFmtId="49" fontId="13" fillId="4" borderId="40" xfId="0" applyNumberFormat="1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vertical="center" wrapText="1"/>
    </xf>
    <xf numFmtId="4" fontId="10" fillId="4" borderId="40" xfId="0" applyNumberFormat="1" applyFont="1" applyFill="1" applyBorder="1" applyAlignment="1">
      <alignment horizontal="right" vertical="center" wrapText="1"/>
    </xf>
    <xf numFmtId="4" fontId="2" fillId="3" borderId="47" xfId="0" applyNumberFormat="1" applyFont="1" applyFill="1" applyBorder="1" applyAlignment="1">
      <alignment horizontal="right" vertical="center" wrapText="1"/>
    </xf>
    <xf numFmtId="4" fontId="2" fillId="0" borderId="39" xfId="0" applyNumberFormat="1" applyFont="1" applyFill="1" applyBorder="1" applyAlignment="1">
      <alignment horizontal="right" vertical="center" wrapText="1"/>
    </xf>
    <xf numFmtId="49" fontId="2" fillId="4" borderId="39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2" fillId="4" borderId="40" xfId="0" applyNumberFormat="1" applyFont="1" applyFill="1" applyBorder="1" applyAlignment="1">
      <alignment horizontal="left" vertical="center" wrapText="1"/>
    </xf>
    <xf numFmtId="49" fontId="10" fillId="4" borderId="40" xfId="0" applyNumberFormat="1" applyFont="1" applyFill="1" applyBorder="1" applyAlignment="1">
      <alignment vertical="center" wrapText="1"/>
    </xf>
    <xf numFmtId="0" fontId="0" fillId="0" borderId="0" xfId="0" applyFont="1"/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49" fontId="17" fillId="4" borderId="40" xfId="0" applyNumberFormat="1" applyFont="1" applyFill="1" applyBorder="1" applyAlignment="1">
      <alignment horizontal="left" vertical="center" wrapText="1"/>
    </xf>
    <xf numFmtId="49" fontId="2" fillId="4" borderId="46" xfId="0" applyNumberFormat="1" applyFont="1" applyFill="1" applyBorder="1" applyAlignment="1">
      <alignment horizontal="left" vertical="center" wrapText="1"/>
    </xf>
    <xf numFmtId="0" fontId="9" fillId="4" borderId="40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4" borderId="48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 wrapText="1"/>
    </xf>
    <xf numFmtId="4" fontId="2" fillId="0" borderId="48" xfId="0" applyNumberFormat="1" applyFont="1" applyFill="1" applyBorder="1" applyAlignment="1">
      <alignment horizontal="right" vertical="center" wrapText="1"/>
    </xf>
    <xf numFmtId="49" fontId="2" fillId="4" borderId="48" xfId="0" applyNumberFormat="1" applyFont="1" applyFill="1" applyBorder="1" applyAlignment="1">
      <alignment horizontal="left" vertical="center" wrapText="1"/>
    </xf>
    <xf numFmtId="4" fontId="3" fillId="0" borderId="48" xfId="0" applyNumberFormat="1" applyFont="1" applyFill="1" applyBorder="1" applyAlignment="1">
      <alignment horizontal="right" vertical="center" wrapText="1"/>
    </xf>
    <xf numFmtId="4" fontId="3" fillId="4" borderId="48" xfId="0" applyNumberFormat="1" applyFont="1" applyFill="1" applyBorder="1" applyAlignment="1">
      <alignment horizontal="right" vertical="center" wrapText="1"/>
    </xf>
    <xf numFmtId="4" fontId="12" fillId="0" borderId="0" xfId="0" applyNumberFormat="1" applyFont="1"/>
    <xf numFmtId="0" fontId="7" fillId="0" borderId="0" xfId="0" applyFont="1" applyAlignment="1">
      <alignment vertical="center" wrapText="1"/>
    </xf>
    <xf numFmtId="49" fontId="18" fillId="5" borderId="4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2" fillId="3" borderId="21" xfId="0" applyNumberFormat="1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9" fontId="18" fillId="0" borderId="41" xfId="0" applyNumberFormat="1" applyFont="1" applyFill="1" applyBorder="1" applyAlignment="1">
      <alignment horizontal="center" vertical="center" wrapText="1"/>
    </xf>
    <xf numFmtId="49" fontId="18" fillId="0" borderId="42" xfId="0" applyNumberFormat="1" applyFont="1" applyFill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49" fontId="18" fillId="5" borderId="41" xfId="0" applyNumberFormat="1" applyFont="1" applyFill="1" applyBorder="1" applyAlignment="1">
      <alignment horizontal="center" vertical="center" wrapText="1"/>
    </xf>
    <xf numFmtId="49" fontId="18" fillId="5" borderId="42" xfId="0" applyNumberFormat="1" applyFont="1" applyFill="1" applyBorder="1" applyAlignment="1">
      <alignment horizontal="center" vertical="center" wrapText="1"/>
    </xf>
    <xf numFmtId="49" fontId="18" fillId="5" borderId="43" xfId="0" applyNumberFormat="1" applyFont="1" applyFill="1" applyBorder="1" applyAlignment="1">
      <alignment horizontal="center" vertical="center" wrapText="1"/>
    </xf>
    <xf numFmtId="4" fontId="2" fillId="4" borderId="44" xfId="0" applyNumberFormat="1" applyFont="1" applyFill="1" applyBorder="1" applyAlignment="1">
      <alignment horizontal="left" vertical="center" wrapText="1"/>
    </xf>
    <xf numFmtId="4" fontId="2" fillId="4" borderId="45" xfId="0" applyNumberFormat="1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left" vertical="center" wrapText="1"/>
    </xf>
    <xf numFmtId="4" fontId="2" fillId="4" borderId="47" xfId="0" applyNumberFormat="1" applyFont="1" applyFill="1" applyBorder="1" applyAlignment="1">
      <alignment horizontal="left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3</xdr:col>
      <xdr:colOff>829239</xdr:colOff>
      <xdr:row>2</xdr:row>
      <xdr:rowOff>266700</xdr:rowOff>
    </xdr:to>
    <xdr:pic>
      <xdr:nvPicPr>
        <xdr:cNvPr id="2" name="Picture 45" descr="UP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14375"/>
          <a:ext cx="2096064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3</xdr:col>
      <xdr:colOff>0</xdr:colOff>
      <xdr:row>2</xdr:row>
      <xdr:rowOff>266700</xdr:rowOff>
    </xdr:to>
    <xdr:pic>
      <xdr:nvPicPr>
        <xdr:cNvPr id="2" name="Picture 45" descr="UP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2096064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naldo%20Vasconcelos/Downloads/2020/Final/6.%20LOA%20UPE%202020%20At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naldo%20Vasconcelos/Downloads/2020/Final/9.%20Execu&#231;&#227;o%20UPE%20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naldo%20Vasconcelos/Downloads/TCE%20ANEXO%20XIX%20-%20Relat&#243;rio%20de%20Desempenho%20da%20Gest&#227;o%20Consolida&#231;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De-Para Transversal"/>
      <sheetName val="UPE Por Fonte"/>
      <sheetName val="UPE Por Grupo de Despesa"/>
      <sheetName val="Emendas 2020"/>
    </sheetNames>
    <sheetDataSet>
      <sheetData sheetId="0" refreshError="1"/>
      <sheetData sheetId="1">
        <row r="8">
          <cell r="K8">
            <v>422864931.64000005</v>
          </cell>
        </row>
        <row r="10">
          <cell r="K10">
            <v>11146806.770000011</v>
          </cell>
        </row>
        <row r="11">
          <cell r="K11">
            <v>65352213.979999997</v>
          </cell>
        </row>
        <row r="12">
          <cell r="K12">
            <v>208565414.42000002</v>
          </cell>
        </row>
        <row r="13">
          <cell r="K13">
            <v>137800496.47000003</v>
          </cell>
        </row>
        <row r="15">
          <cell r="K15">
            <v>8648757</v>
          </cell>
        </row>
        <row r="16">
          <cell r="K16">
            <v>1184350</v>
          </cell>
        </row>
        <row r="17">
          <cell r="K17">
            <v>737300</v>
          </cell>
        </row>
        <row r="18">
          <cell r="K18">
            <v>3061400</v>
          </cell>
        </row>
        <row r="20">
          <cell r="K20">
            <v>140300620</v>
          </cell>
        </row>
        <row r="21">
          <cell r="K21">
            <v>4089512</v>
          </cell>
        </row>
        <row r="22">
          <cell r="K22">
            <v>2327002</v>
          </cell>
        </row>
        <row r="24">
          <cell r="K24">
            <v>865900</v>
          </cell>
        </row>
        <row r="25">
          <cell r="K25">
            <v>541400</v>
          </cell>
        </row>
        <row r="27">
          <cell r="K27">
            <v>46821400.100000001</v>
          </cell>
        </row>
        <row r="28">
          <cell r="K28">
            <v>40129700</v>
          </cell>
        </row>
        <row r="30">
          <cell r="K30">
            <v>5000</v>
          </cell>
        </row>
        <row r="31">
          <cell r="K31">
            <v>496165.38</v>
          </cell>
        </row>
        <row r="32">
          <cell r="K32">
            <v>150800</v>
          </cell>
        </row>
        <row r="34">
          <cell r="K34">
            <v>14656200</v>
          </cell>
        </row>
        <row r="35">
          <cell r="K35">
            <v>210800</v>
          </cell>
        </row>
        <row r="36">
          <cell r="K36">
            <v>12704302.52</v>
          </cell>
        </row>
        <row r="38">
          <cell r="K38">
            <v>6499000</v>
          </cell>
        </row>
        <row r="39">
          <cell r="K39">
            <v>170000</v>
          </cell>
        </row>
        <row r="40">
          <cell r="K40">
            <v>243000</v>
          </cell>
        </row>
        <row r="42">
          <cell r="K42">
            <v>5000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De-Para Transversal"/>
      <sheetName val="UPE Por Fonte"/>
      <sheetName val="UPE Por Grupo de Despesa"/>
      <sheetName val="UPE Por Ficha Financeira Ano"/>
      <sheetName val="UPE Por Ficha Financeira DEA"/>
      <sheetName val="UPE Por Unidade"/>
      <sheetName val="Emendas 2020"/>
      <sheetName val="Reabertura Emendas"/>
    </sheetNames>
    <sheetDataSet>
      <sheetData sheetId="0" refreshError="1"/>
      <sheetData sheetId="1">
        <row r="10">
          <cell r="K10">
            <v>10267250.870000008</v>
          </cell>
        </row>
        <row r="11">
          <cell r="K11">
            <v>64622382.429999992</v>
          </cell>
        </row>
        <row r="12">
          <cell r="K12">
            <v>206524210.14999998</v>
          </cell>
        </row>
        <row r="13">
          <cell r="K13">
            <v>131006335.49000001</v>
          </cell>
        </row>
        <row r="15">
          <cell r="K15">
            <v>7934844.9700000007</v>
          </cell>
        </row>
        <row r="16">
          <cell r="K16">
            <v>842664.37</v>
          </cell>
        </row>
        <row r="17">
          <cell r="K17">
            <v>17931.740000000002</v>
          </cell>
        </row>
        <row r="18">
          <cell r="K18">
            <v>2541760.7599999998</v>
          </cell>
        </row>
        <row r="20">
          <cell r="K20">
            <v>138677284.54000002</v>
          </cell>
        </row>
        <row r="21">
          <cell r="K21">
            <v>2753148.51</v>
          </cell>
        </row>
        <row r="22">
          <cell r="K22">
            <v>641193.62</v>
          </cell>
        </row>
        <row r="24">
          <cell r="K24">
            <v>323589.78999999998</v>
          </cell>
        </row>
        <row r="25">
          <cell r="K25">
            <v>408287.15</v>
          </cell>
        </row>
        <row r="27">
          <cell r="K27">
            <v>46556693.32</v>
          </cell>
        </row>
        <row r="28">
          <cell r="K28">
            <v>39547509.259999998</v>
          </cell>
        </row>
        <row r="30">
          <cell r="K30">
            <v>0</v>
          </cell>
        </row>
        <row r="31">
          <cell r="K31">
            <v>390399.81</v>
          </cell>
        </row>
        <row r="32">
          <cell r="K32">
            <v>136054.92000000001</v>
          </cell>
        </row>
        <row r="34">
          <cell r="K34">
            <v>14037662.879999999</v>
          </cell>
        </row>
        <row r="35">
          <cell r="K35">
            <v>210800</v>
          </cell>
        </row>
        <row r="36">
          <cell r="K36">
            <v>9774924.2700000014</v>
          </cell>
        </row>
        <row r="38">
          <cell r="K38">
            <v>6018962.9199999999</v>
          </cell>
        </row>
        <row r="39">
          <cell r="K39">
            <v>161550.94</v>
          </cell>
        </row>
        <row r="40">
          <cell r="K40">
            <v>161045.15</v>
          </cell>
        </row>
        <row r="42">
          <cell r="K4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Geral"/>
      <sheetName val="Previsão LOA"/>
      <sheetName val="2020 Unidades"/>
      <sheetName val="2020 Unidades (2)"/>
      <sheetName val="2020 Unidades (3)"/>
    </sheetNames>
    <sheetDataSet>
      <sheetData sheetId="0">
        <row r="8">
          <cell r="J8">
            <v>540</v>
          </cell>
        </row>
        <row r="9">
          <cell r="J9">
            <v>157192</v>
          </cell>
        </row>
        <row r="10">
          <cell r="J10">
            <v>487270</v>
          </cell>
        </row>
        <row r="11">
          <cell r="J11">
            <v>692879</v>
          </cell>
        </row>
        <row r="13">
          <cell r="J13">
            <v>3</v>
          </cell>
        </row>
        <row r="14">
          <cell r="J14">
            <v>400</v>
          </cell>
        </row>
        <row r="15">
          <cell r="J15">
            <v>0</v>
          </cell>
        </row>
        <row r="16">
          <cell r="J16">
            <v>14.98</v>
          </cell>
        </row>
        <row r="18">
          <cell r="J18">
            <v>14493</v>
          </cell>
        </row>
        <row r="19">
          <cell r="J19">
            <v>2358</v>
          </cell>
        </row>
        <row r="20">
          <cell r="J20">
            <v>2025</v>
          </cell>
        </row>
        <row r="22">
          <cell r="J22">
            <v>996</v>
          </cell>
        </row>
        <row r="23">
          <cell r="J23">
            <v>267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A4" workbookViewId="0">
      <selection activeCell="D49" sqref="D49"/>
    </sheetView>
  </sheetViews>
  <sheetFormatPr defaultRowHeight="15.75" x14ac:dyDescent="0.25"/>
  <cols>
    <col min="1" max="1" width="6.140625" style="1" customWidth="1"/>
    <col min="2" max="2" width="6.42578125" style="1" bestFit="1" customWidth="1"/>
    <col min="3" max="3" width="6.42578125" style="16" bestFit="1" customWidth="1"/>
    <col min="4" max="4" width="66" style="1" customWidth="1"/>
    <col min="5" max="6" width="14.140625" style="1" customWidth="1"/>
    <col min="7" max="7" width="9.5703125" style="25" customWidth="1"/>
    <col min="8" max="8" width="17.7109375" style="21" customWidth="1"/>
    <col min="9" max="9" width="10.7109375" customWidth="1"/>
    <col min="10" max="10" width="12.42578125" customWidth="1"/>
    <col min="11" max="11" width="88.140625" style="92" customWidth="1"/>
    <col min="12" max="12" width="19.28515625" style="60" customWidth="1"/>
    <col min="13" max="14" width="11.140625" bestFit="1" customWidth="1"/>
  </cols>
  <sheetData>
    <row r="1" spans="1:14" ht="23.25" x14ac:dyDescent="0.25">
      <c r="A1" s="167" t="s">
        <v>66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4" ht="23.25" x14ac:dyDescent="0.25">
      <c r="A2" s="167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4" ht="24" thickBot="1" x14ac:dyDescent="0.3">
      <c r="A3" s="168" t="s">
        <v>95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4" s="72" customFormat="1" ht="18" thickBot="1" x14ac:dyDescent="0.35">
      <c r="A4" s="178" t="s">
        <v>0</v>
      </c>
      <c r="B4" s="179"/>
      <c r="C4" s="179"/>
      <c r="D4" s="180"/>
      <c r="E4" s="171" t="s">
        <v>68</v>
      </c>
      <c r="F4" s="171" t="s">
        <v>69</v>
      </c>
      <c r="G4" s="171" t="s">
        <v>71</v>
      </c>
      <c r="H4" s="171" t="s">
        <v>70</v>
      </c>
      <c r="I4" s="176" t="s">
        <v>89</v>
      </c>
      <c r="J4" s="177"/>
      <c r="K4" s="173" t="s">
        <v>72</v>
      </c>
      <c r="L4" s="171" t="s">
        <v>73</v>
      </c>
    </row>
    <row r="5" spans="1:14" s="72" customFormat="1" ht="33.75" thickBot="1" x14ac:dyDescent="0.35">
      <c r="A5" s="181"/>
      <c r="B5" s="182"/>
      <c r="C5" s="182"/>
      <c r="D5" s="183"/>
      <c r="E5" s="172"/>
      <c r="F5" s="172"/>
      <c r="G5" s="172"/>
      <c r="H5" s="172"/>
      <c r="I5" s="73" t="s">
        <v>90</v>
      </c>
      <c r="J5" s="75" t="s">
        <v>93</v>
      </c>
      <c r="K5" s="174"/>
      <c r="L5" s="175"/>
    </row>
    <row r="6" spans="1:14" ht="21" customHeight="1" thickBot="1" x14ac:dyDescent="0.3">
      <c r="A6" s="55" t="s">
        <v>1</v>
      </c>
      <c r="B6" s="169" t="s">
        <v>2</v>
      </c>
      <c r="C6" s="169"/>
      <c r="D6" s="170"/>
      <c r="E6" s="57">
        <f t="shared" ref="E6:F6" si="0">E7</f>
        <v>422864931.64000005</v>
      </c>
      <c r="F6" s="57">
        <f t="shared" si="0"/>
        <v>412420178.94</v>
      </c>
      <c r="G6" s="58">
        <f t="shared" ref="G6:G7" si="1">F6*100/E6</f>
        <v>97.53000262767307</v>
      </c>
      <c r="H6" s="59"/>
      <c r="I6" s="57"/>
      <c r="J6" s="57"/>
      <c r="K6" s="78"/>
      <c r="L6" s="61" t="s">
        <v>91</v>
      </c>
      <c r="M6" s="20"/>
      <c r="N6" s="20"/>
    </row>
    <row r="7" spans="1:14" x14ac:dyDescent="0.25">
      <c r="A7" s="39"/>
      <c r="B7" s="40" t="s">
        <v>3</v>
      </c>
      <c r="C7" s="150" t="s">
        <v>4</v>
      </c>
      <c r="D7" s="151"/>
      <c r="E7" s="41">
        <f>SUM(E8:E11)</f>
        <v>422864931.64000005</v>
      </c>
      <c r="F7" s="41">
        <f t="shared" ref="F7" si="2">SUM(F8:F11)</f>
        <v>412420178.94</v>
      </c>
      <c r="G7" s="42">
        <f t="shared" si="1"/>
        <v>97.53000262767307</v>
      </c>
      <c r="H7" s="43"/>
      <c r="I7" s="41"/>
      <c r="J7" s="41"/>
      <c r="K7" s="79"/>
      <c r="L7" s="62"/>
      <c r="M7" s="20"/>
      <c r="N7" s="20"/>
    </row>
    <row r="8" spans="1:14" ht="45" x14ac:dyDescent="0.25">
      <c r="A8" s="2"/>
      <c r="B8" s="3"/>
      <c r="C8" s="4" t="s">
        <v>5</v>
      </c>
      <c r="D8" s="5" t="s">
        <v>6</v>
      </c>
      <c r="E8" s="12">
        <f>'[1]UPE Por Fonte'!$K10</f>
        <v>11146806.770000011</v>
      </c>
      <c r="F8" s="12">
        <f>'[2]UPE Por Fonte'!$K10</f>
        <v>10267250.870000008</v>
      </c>
      <c r="G8" s="17">
        <f>F8*100/E8</f>
        <v>92.10934648685938</v>
      </c>
      <c r="H8" s="23" t="s">
        <v>81</v>
      </c>
      <c r="I8" s="12">
        <v>150000</v>
      </c>
      <c r="J8" s="12">
        <f>'[3]2020 Geral'!$J8</f>
        <v>540</v>
      </c>
      <c r="K8" s="80" t="s">
        <v>96</v>
      </c>
      <c r="L8" s="63"/>
      <c r="M8" s="20"/>
      <c r="N8" s="20"/>
    </row>
    <row r="9" spans="1:14" ht="60" x14ac:dyDescent="0.25">
      <c r="A9" s="2"/>
      <c r="B9" s="3"/>
      <c r="C9" s="3" t="s">
        <v>7</v>
      </c>
      <c r="D9" s="5" t="s">
        <v>8</v>
      </c>
      <c r="E9" s="12">
        <f>'[1]UPE Por Fonte'!$K11</f>
        <v>65352213.979999997</v>
      </c>
      <c r="F9" s="12">
        <f>'[2]UPE Por Fonte'!$K11</f>
        <v>64622382.429999992</v>
      </c>
      <c r="G9" s="17">
        <f t="shared" ref="G9:G41" si="3">F9*100/E9</f>
        <v>98.883233626601609</v>
      </c>
      <c r="H9" s="76" t="s">
        <v>94</v>
      </c>
      <c r="I9" s="13">
        <v>95100</v>
      </c>
      <c r="J9" s="12">
        <f>'[3]2020 Geral'!$J9</f>
        <v>157192</v>
      </c>
      <c r="K9" s="81" t="s">
        <v>97</v>
      </c>
      <c r="L9" s="64"/>
      <c r="M9" s="20"/>
      <c r="N9" s="20"/>
    </row>
    <row r="10" spans="1:14" ht="120" x14ac:dyDescent="0.25">
      <c r="A10" s="2"/>
      <c r="B10" s="3"/>
      <c r="C10" s="3" t="s">
        <v>9</v>
      </c>
      <c r="D10" s="6" t="s">
        <v>10</v>
      </c>
      <c r="E10" s="12">
        <f>'[1]UPE Por Fonte'!$K12</f>
        <v>208565414.42000002</v>
      </c>
      <c r="F10" s="12">
        <f>'[2]UPE Por Fonte'!$K12</f>
        <v>206524210.14999998</v>
      </c>
      <c r="G10" s="17">
        <f t="shared" si="3"/>
        <v>99.021312198057174</v>
      </c>
      <c r="H10" s="76" t="s">
        <v>94</v>
      </c>
      <c r="I10" s="13">
        <v>900000</v>
      </c>
      <c r="J10" s="12">
        <f>'[3]2020 Geral'!$J10</f>
        <v>487270</v>
      </c>
      <c r="K10" s="81" t="s">
        <v>98</v>
      </c>
      <c r="L10" s="64"/>
      <c r="M10" s="20"/>
      <c r="N10" s="20"/>
    </row>
    <row r="11" spans="1:14" ht="90.75" thickBot="1" x14ac:dyDescent="0.3">
      <c r="A11" s="27"/>
      <c r="B11" s="28"/>
      <c r="C11" s="28" t="s">
        <v>11</v>
      </c>
      <c r="D11" s="29" t="s">
        <v>12</v>
      </c>
      <c r="E11" s="30">
        <f>'[1]UPE Por Fonte'!$K13</f>
        <v>137800496.47000003</v>
      </c>
      <c r="F11" s="30">
        <f>'[2]UPE Por Fonte'!$K13</f>
        <v>131006335.49000001</v>
      </c>
      <c r="G11" s="31">
        <f t="shared" si="3"/>
        <v>95.069567124905703</v>
      </c>
      <c r="H11" s="76" t="s">
        <v>94</v>
      </c>
      <c r="I11" s="33">
        <v>890000</v>
      </c>
      <c r="J11" s="12">
        <f>'[3]2020 Geral'!$J11</f>
        <v>692879</v>
      </c>
      <c r="K11" s="82" t="s">
        <v>101</v>
      </c>
      <c r="L11" s="65"/>
      <c r="M11" s="20"/>
      <c r="N11" s="20"/>
    </row>
    <row r="12" spans="1:14" ht="21" customHeight="1" thickBot="1" x14ac:dyDescent="0.3">
      <c r="A12" s="56" t="s">
        <v>13</v>
      </c>
      <c r="B12" s="186" t="s">
        <v>14</v>
      </c>
      <c r="C12" s="186"/>
      <c r="D12" s="187"/>
      <c r="E12" s="57">
        <f t="shared" ref="E12:F12" si="4">SUM(E13:E16)</f>
        <v>13631807</v>
      </c>
      <c r="F12" s="57">
        <f t="shared" si="4"/>
        <v>11337201.84</v>
      </c>
      <c r="G12" s="58">
        <f t="shared" si="3"/>
        <v>83.167270780755629</v>
      </c>
      <c r="H12" s="59"/>
      <c r="I12" s="57"/>
      <c r="J12" s="57"/>
      <c r="K12" s="78"/>
      <c r="L12" s="61" t="s">
        <v>91</v>
      </c>
      <c r="M12" s="20"/>
      <c r="N12" s="20"/>
    </row>
    <row r="13" spans="1:14" ht="31.5" x14ac:dyDescent="0.25">
      <c r="A13" s="39"/>
      <c r="B13" s="40" t="s">
        <v>15</v>
      </c>
      <c r="C13" s="150" t="s">
        <v>16</v>
      </c>
      <c r="D13" s="151"/>
      <c r="E13" s="44">
        <f>'[1]UPE Por Fonte'!$K15</f>
        <v>8648757</v>
      </c>
      <c r="F13" s="44">
        <f>'[2]UPE Por Fonte'!$K15</f>
        <v>7934844.9700000007</v>
      </c>
      <c r="G13" s="42">
        <f t="shared" si="3"/>
        <v>91.745495566588374</v>
      </c>
      <c r="H13" s="45" t="s">
        <v>82</v>
      </c>
      <c r="I13" s="46">
        <v>3</v>
      </c>
      <c r="J13" s="12">
        <f>'[3]2020 Geral'!$J13</f>
        <v>3</v>
      </c>
      <c r="K13" s="79" t="s">
        <v>100</v>
      </c>
      <c r="L13" s="66"/>
      <c r="M13" s="20"/>
      <c r="N13" s="20"/>
    </row>
    <row r="14" spans="1:14" ht="105" x14ac:dyDescent="0.25">
      <c r="A14" s="2"/>
      <c r="B14" s="3" t="s">
        <v>17</v>
      </c>
      <c r="C14" s="165" t="s">
        <v>18</v>
      </c>
      <c r="D14" s="166"/>
      <c r="E14" s="12">
        <f>'[1]UPE Por Fonte'!$K16</f>
        <v>1184350</v>
      </c>
      <c r="F14" s="12">
        <f>'[2]UPE Por Fonte'!$K16</f>
        <v>842664.37</v>
      </c>
      <c r="G14" s="17">
        <f t="shared" si="3"/>
        <v>71.149944695402539</v>
      </c>
      <c r="H14" s="22" t="s">
        <v>88</v>
      </c>
      <c r="I14" s="14">
        <v>418</v>
      </c>
      <c r="J14" s="12">
        <f>'[3]2020 Geral'!$J14</f>
        <v>400</v>
      </c>
      <c r="K14" s="83" t="s">
        <v>102</v>
      </c>
      <c r="L14" s="67"/>
      <c r="M14" s="20"/>
      <c r="N14" s="20"/>
    </row>
    <row r="15" spans="1:14" ht="60" x14ac:dyDescent="0.25">
      <c r="A15" s="2"/>
      <c r="B15" s="3" t="s">
        <v>19</v>
      </c>
      <c r="C15" s="165" t="s">
        <v>20</v>
      </c>
      <c r="D15" s="166"/>
      <c r="E15" s="12">
        <f>'[1]UPE Por Fonte'!$K17</f>
        <v>737300</v>
      </c>
      <c r="F15" s="12">
        <f>'[2]UPE Por Fonte'!$K17</f>
        <v>17931.740000000002</v>
      </c>
      <c r="G15" s="17">
        <f t="shared" si="3"/>
        <v>2.4320819205208197</v>
      </c>
      <c r="H15" s="22" t="s">
        <v>86</v>
      </c>
      <c r="I15" s="14">
        <v>1</v>
      </c>
      <c r="J15" s="12">
        <f>'[3]2020 Geral'!$J15</f>
        <v>0</v>
      </c>
      <c r="K15" s="84" t="s">
        <v>99</v>
      </c>
      <c r="L15" s="67"/>
      <c r="M15" s="20"/>
      <c r="N15" s="20"/>
    </row>
    <row r="16" spans="1:14" ht="45.75" thickBot="1" x14ac:dyDescent="0.3">
      <c r="A16" s="27"/>
      <c r="B16" s="28" t="s">
        <v>21</v>
      </c>
      <c r="C16" s="152" t="s">
        <v>22</v>
      </c>
      <c r="D16" s="153"/>
      <c r="E16" s="30">
        <f>'[1]UPE Por Fonte'!$K18</f>
        <v>3061400</v>
      </c>
      <c r="F16" s="30">
        <f>'[2]UPE Por Fonte'!$K18</f>
        <v>2541760.7599999998</v>
      </c>
      <c r="G16" s="31">
        <f t="shared" si="3"/>
        <v>83.026091330763691</v>
      </c>
      <c r="H16" s="34" t="s">
        <v>82</v>
      </c>
      <c r="I16" s="26">
        <v>15</v>
      </c>
      <c r="J16" s="12">
        <f>'[3]2020 Geral'!$J16</f>
        <v>14.98</v>
      </c>
      <c r="K16" s="85" t="s">
        <v>103</v>
      </c>
      <c r="L16" s="68"/>
      <c r="M16" s="20"/>
      <c r="N16" s="20"/>
    </row>
    <row r="17" spans="1:14" ht="21" customHeight="1" thickBot="1" x14ac:dyDescent="0.3">
      <c r="A17" s="55" t="s">
        <v>23</v>
      </c>
      <c r="B17" s="169" t="s">
        <v>24</v>
      </c>
      <c r="C17" s="169"/>
      <c r="D17" s="170"/>
      <c r="E17" s="57">
        <f t="shared" ref="E17:F17" si="5">SUM(E18:E20)</f>
        <v>146717134</v>
      </c>
      <c r="F17" s="57">
        <f t="shared" si="5"/>
        <v>142071626.67000002</v>
      </c>
      <c r="G17" s="58">
        <f t="shared" si="3"/>
        <v>96.833698148711122</v>
      </c>
      <c r="H17" s="59"/>
      <c r="I17" s="57"/>
      <c r="J17" s="57"/>
      <c r="K17" s="78"/>
      <c r="L17" s="61" t="s">
        <v>91</v>
      </c>
      <c r="M17" s="20"/>
      <c r="N17" s="20"/>
    </row>
    <row r="18" spans="1:14" ht="31.5" x14ac:dyDescent="0.25">
      <c r="A18" s="39"/>
      <c r="B18" s="40" t="s">
        <v>25</v>
      </c>
      <c r="C18" s="150" t="s">
        <v>26</v>
      </c>
      <c r="D18" s="151"/>
      <c r="E18" s="44">
        <f>'[1]UPE Por Fonte'!$K20</f>
        <v>140300620</v>
      </c>
      <c r="F18" s="44">
        <f>'[2]UPE Por Fonte'!$K20</f>
        <v>138677284.54000002</v>
      </c>
      <c r="G18" s="42">
        <f t="shared" si="3"/>
        <v>98.842959168676529</v>
      </c>
      <c r="H18" s="45" t="s">
        <v>78</v>
      </c>
      <c r="I18" s="46">
        <v>14511</v>
      </c>
      <c r="J18" s="12">
        <f>'[3]2020 Geral'!$J18</f>
        <v>14493</v>
      </c>
      <c r="K18" s="79"/>
      <c r="L18" s="66"/>
      <c r="M18" s="20"/>
      <c r="N18" s="20"/>
    </row>
    <row r="19" spans="1:14" ht="31.5" x14ac:dyDescent="0.25">
      <c r="A19" s="2"/>
      <c r="B19" s="3" t="s">
        <v>27</v>
      </c>
      <c r="C19" s="165" t="s">
        <v>28</v>
      </c>
      <c r="D19" s="166"/>
      <c r="E19" s="12">
        <f>'[1]UPE Por Fonte'!$K21</f>
        <v>4089512</v>
      </c>
      <c r="F19" s="12">
        <f>'[2]UPE Por Fonte'!$K21</f>
        <v>2753148.51</v>
      </c>
      <c r="G19" s="17">
        <f t="shared" si="3"/>
        <v>67.32217707149411</v>
      </c>
      <c r="H19" s="22" t="s">
        <v>78</v>
      </c>
      <c r="I19" s="14">
        <v>2670</v>
      </c>
      <c r="J19" s="12">
        <f>'[3]2020 Geral'!$J19</f>
        <v>2358</v>
      </c>
      <c r="K19" s="86" t="s">
        <v>109</v>
      </c>
      <c r="L19" s="67"/>
      <c r="M19" s="20"/>
      <c r="N19" s="20"/>
    </row>
    <row r="20" spans="1:14" ht="135.75" thickBot="1" x14ac:dyDescent="0.3">
      <c r="A20" s="27"/>
      <c r="B20" s="28" t="s">
        <v>29</v>
      </c>
      <c r="C20" s="152" t="s">
        <v>30</v>
      </c>
      <c r="D20" s="153"/>
      <c r="E20" s="33">
        <f>'[1]UPE Por Fonte'!$K22</f>
        <v>2327002</v>
      </c>
      <c r="F20" s="33">
        <f>'[2]UPE Por Fonte'!$K22</f>
        <v>641193.62</v>
      </c>
      <c r="G20" s="77">
        <f t="shared" si="3"/>
        <v>27.554493721964999</v>
      </c>
      <c r="H20" s="32" t="s">
        <v>78</v>
      </c>
      <c r="I20" s="33">
        <v>1147</v>
      </c>
      <c r="J20" s="13">
        <f>'[3]2020 Geral'!$J20</f>
        <v>2025</v>
      </c>
      <c r="K20" s="87" t="s">
        <v>108</v>
      </c>
      <c r="L20" s="68"/>
      <c r="M20" s="20"/>
      <c r="N20" s="20"/>
    </row>
    <row r="21" spans="1:14" ht="21" customHeight="1" thickBot="1" x14ac:dyDescent="0.3">
      <c r="A21" s="55" t="s">
        <v>31</v>
      </c>
      <c r="B21" s="154" t="s">
        <v>32</v>
      </c>
      <c r="C21" s="154"/>
      <c r="D21" s="155"/>
      <c r="E21" s="57">
        <f t="shared" ref="E21:F21" si="6">E22+E23</f>
        <v>1407300</v>
      </c>
      <c r="F21" s="57">
        <f t="shared" si="6"/>
        <v>731876.94</v>
      </c>
      <c r="G21" s="58">
        <f t="shared" si="3"/>
        <v>52.0057514389256</v>
      </c>
      <c r="H21" s="59"/>
      <c r="I21" s="57"/>
      <c r="J21" s="57"/>
      <c r="K21" s="78"/>
      <c r="L21" s="61" t="s">
        <v>91</v>
      </c>
      <c r="M21" s="20"/>
      <c r="N21" s="20"/>
    </row>
    <row r="22" spans="1:14" ht="31.5" x14ac:dyDescent="0.25">
      <c r="A22" s="39"/>
      <c r="B22" s="40" t="s">
        <v>33</v>
      </c>
      <c r="C22" s="150" t="s">
        <v>34</v>
      </c>
      <c r="D22" s="151"/>
      <c r="E22" s="44">
        <f>'[1]UPE Por Fonte'!$K24</f>
        <v>865900</v>
      </c>
      <c r="F22" s="44">
        <f>'[2]UPE Por Fonte'!$K24</f>
        <v>323589.78999999998</v>
      </c>
      <c r="G22" s="42">
        <f t="shared" si="3"/>
        <v>37.370341840859219</v>
      </c>
      <c r="H22" s="45" t="s">
        <v>79</v>
      </c>
      <c r="I22" s="46">
        <v>964</v>
      </c>
      <c r="J22" s="12">
        <f>'[3]2020 Geral'!$J22</f>
        <v>996</v>
      </c>
      <c r="K22" s="79"/>
      <c r="L22" s="66"/>
      <c r="M22" s="20"/>
      <c r="N22" s="20"/>
    </row>
    <row r="23" spans="1:14" ht="32.25" thickBot="1" x14ac:dyDescent="0.3">
      <c r="A23" s="27"/>
      <c r="B23" s="28" t="s">
        <v>35</v>
      </c>
      <c r="C23" s="152" t="s">
        <v>36</v>
      </c>
      <c r="D23" s="153"/>
      <c r="E23" s="30">
        <f>'[1]UPE Por Fonte'!$K25</f>
        <v>541400</v>
      </c>
      <c r="F23" s="30">
        <f>'[2]UPE Por Fonte'!$K25</f>
        <v>408287.15</v>
      </c>
      <c r="G23" s="31">
        <f t="shared" si="3"/>
        <v>75.413215736978202</v>
      </c>
      <c r="H23" s="34" t="s">
        <v>80</v>
      </c>
      <c r="I23" s="26">
        <v>129</v>
      </c>
      <c r="J23" s="12">
        <f>'[3]2020 Geral'!$J23</f>
        <v>267</v>
      </c>
      <c r="K23" s="85"/>
      <c r="L23" s="68"/>
      <c r="M23" s="20"/>
      <c r="N23" s="20"/>
    </row>
    <row r="24" spans="1:14" ht="21" customHeight="1" thickBot="1" x14ac:dyDescent="0.3">
      <c r="A24" s="55" t="s">
        <v>37</v>
      </c>
      <c r="B24" s="154" t="s">
        <v>38</v>
      </c>
      <c r="C24" s="154"/>
      <c r="D24" s="155"/>
      <c r="E24" s="57">
        <f>E25+E26+E27+E31+E34+E35</f>
        <v>122086367.99999999</v>
      </c>
      <c r="F24" s="57">
        <f>F25+F26+F27+F31+F34+F35</f>
        <v>116995603.47</v>
      </c>
      <c r="G24" s="58">
        <f t="shared" si="3"/>
        <v>95.83019413764525</v>
      </c>
      <c r="H24" s="59"/>
      <c r="I24" s="57"/>
      <c r="J24" s="57"/>
      <c r="K24" s="78"/>
      <c r="L24" s="61" t="s">
        <v>91</v>
      </c>
      <c r="M24" s="20"/>
      <c r="N24" s="20"/>
    </row>
    <row r="25" spans="1:14" ht="31.5" x14ac:dyDescent="0.25">
      <c r="A25" s="47"/>
      <c r="B25" s="48" t="s">
        <v>39</v>
      </c>
      <c r="C25" s="184" t="s">
        <v>40</v>
      </c>
      <c r="D25" s="185"/>
      <c r="E25" s="49">
        <f>'[1]UPE Por Fonte'!$K27</f>
        <v>46821400.100000001</v>
      </c>
      <c r="F25" s="49">
        <f>'[2]UPE Por Fonte'!$K27</f>
        <v>46556693.32</v>
      </c>
      <c r="G25" s="42">
        <f t="shared" si="3"/>
        <v>99.434645740121724</v>
      </c>
      <c r="H25" s="45" t="s">
        <v>83</v>
      </c>
      <c r="I25" s="46">
        <v>1</v>
      </c>
      <c r="J25" s="46">
        <v>1</v>
      </c>
      <c r="K25" s="79"/>
      <c r="L25" s="66"/>
      <c r="M25" s="20"/>
      <c r="N25" s="20"/>
    </row>
    <row r="26" spans="1:14" ht="31.5" x14ac:dyDescent="0.25">
      <c r="A26" s="7"/>
      <c r="B26" s="8" t="s">
        <v>41</v>
      </c>
      <c r="C26" s="163" t="s">
        <v>42</v>
      </c>
      <c r="D26" s="164"/>
      <c r="E26" s="19">
        <f>'[1]UPE Por Fonte'!$K28</f>
        <v>40129700</v>
      </c>
      <c r="F26" s="19">
        <f>'[2]UPE Por Fonte'!$K28</f>
        <v>39547509.259999998</v>
      </c>
      <c r="G26" s="17">
        <f t="shared" si="3"/>
        <v>98.549227280542837</v>
      </c>
      <c r="H26" s="22" t="s">
        <v>83</v>
      </c>
      <c r="I26" s="14">
        <v>1</v>
      </c>
      <c r="J26" s="14">
        <v>1</v>
      </c>
      <c r="K26" s="86"/>
      <c r="L26" s="67"/>
      <c r="M26" s="20"/>
      <c r="N26" s="20"/>
    </row>
    <row r="27" spans="1:14" x14ac:dyDescent="0.25">
      <c r="A27" s="7"/>
      <c r="B27" s="8" t="s">
        <v>43</v>
      </c>
      <c r="C27" s="161" t="s">
        <v>44</v>
      </c>
      <c r="D27" s="162"/>
      <c r="E27" s="11">
        <f>E28+E29+E30</f>
        <v>651965.38</v>
      </c>
      <c r="F27" s="11">
        <f t="shared" ref="F27" si="7">F28+F29+F30</f>
        <v>526454.73</v>
      </c>
      <c r="G27" s="17">
        <f t="shared" si="3"/>
        <v>80.748878107607496</v>
      </c>
      <c r="H27" s="22"/>
      <c r="I27" s="11"/>
      <c r="J27" s="11"/>
      <c r="K27" s="86"/>
      <c r="L27" s="69"/>
      <c r="M27" s="20"/>
      <c r="N27" s="20"/>
    </row>
    <row r="28" spans="1:14" x14ac:dyDescent="0.25">
      <c r="A28" s="7"/>
      <c r="B28" s="8"/>
      <c r="C28" s="4" t="s">
        <v>5</v>
      </c>
      <c r="D28" s="5" t="s">
        <v>45</v>
      </c>
      <c r="E28" s="12">
        <f>'[1]UPE Por Fonte'!$K30</f>
        <v>5000</v>
      </c>
      <c r="F28" s="12">
        <f>'[2]UPE Por Fonte'!$K30</f>
        <v>0</v>
      </c>
      <c r="G28" s="17">
        <f t="shared" si="3"/>
        <v>0</v>
      </c>
      <c r="H28" s="22" t="s">
        <v>84</v>
      </c>
      <c r="I28" s="14">
        <v>1</v>
      </c>
      <c r="J28" s="14">
        <v>1</v>
      </c>
      <c r="K28" s="86"/>
      <c r="L28" s="67"/>
      <c r="M28" s="20"/>
      <c r="N28" s="20"/>
    </row>
    <row r="29" spans="1:14" x14ac:dyDescent="0.25">
      <c r="A29" s="7"/>
      <c r="B29" s="8"/>
      <c r="C29" s="4" t="s">
        <v>46</v>
      </c>
      <c r="D29" s="5" t="s">
        <v>47</v>
      </c>
      <c r="E29" s="12">
        <f>'[1]UPE Por Fonte'!$K31</f>
        <v>496165.38</v>
      </c>
      <c r="F29" s="12">
        <f>'[2]UPE Por Fonte'!$K31</f>
        <v>390399.81</v>
      </c>
      <c r="G29" s="17">
        <f t="shared" si="3"/>
        <v>78.683403908591927</v>
      </c>
      <c r="H29" s="22" t="s">
        <v>84</v>
      </c>
      <c r="I29" s="14">
        <v>18</v>
      </c>
      <c r="J29" s="14">
        <v>18</v>
      </c>
      <c r="K29" s="86"/>
      <c r="L29" s="67"/>
      <c r="M29" s="20"/>
      <c r="N29" s="20"/>
    </row>
    <row r="30" spans="1:14" x14ac:dyDescent="0.25">
      <c r="A30" s="7"/>
      <c r="B30" s="8"/>
      <c r="C30" s="9" t="s">
        <v>48</v>
      </c>
      <c r="D30" s="5" t="s">
        <v>65</v>
      </c>
      <c r="E30" s="12">
        <f>'[1]UPE Por Fonte'!$K32</f>
        <v>150800</v>
      </c>
      <c r="F30" s="12">
        <f>'[2]UPE Por Fonte'!$K32</f>
        <v>136054.92000000001</v>
      </c>
      <c r="G30" s="17">
        <f t="shared" si="3"/>
        <v>90.2220954907162</v>
      </c>
      <c r="H30" s="22" t="s">
        <v>84</v>
      </c>
      <c r="I30" s="14">
        <v>1</v>
      </c>
      <c r="J30" s="14">
        <v>1</v>
      </c>
      <c r="K30" s="86"/>
      <c r="L30" s="67"/>
      <c r="M30" s="20"/>
      <c r="N30" s="20"/>
    </row>
    <row r="31" spans="1:14" x14ac:dyDescent="0.25">
      <c r="A31" s="7"/>
      <c r="B31" s="8" t="s">
        <v>49</v>
      </c>
      <c r="C31" s="163" t="s">
        <v>63</v>
      </c>
      <c r="D31" s="164"/>
      <c r="E31" s="11">
        <f>E33+E32</f>
        <v>14867000</v>
      </c>
      <c r="F31" s="11">
        <f t="shared" ref="F31" si="8">F33+F32</f>
        <v>14248462.879999999</v>
      </c>
      <c r="G31" s="17">
        <f t="shared" si="3"/>
        <v>95.839529696643567</v>
      </c>
      <c r="H31" s="22"/>
      <c r="I31" s="11"/>
      <c r="J31" s="11"/>
      <c r="K31" s="86"/>
      <c r="L31" s="69"/>
      <c r="M31" s="20"/>
      <c r="N31" s="20"/>
    </row>
    <row r="32" spans="1:14" ht="31.5" x14ac:dyDescent="0.25">
      <c r="A32" s="7"/>
      <c r="B32" s="8"/>
      <c r="C32" s="4" t="s">
        <v>5</v>
      </c>
      <c r="D32" s="5" t="s">
        <v>50</v>
      </c>
      <c r="E32" s="12">
        <f>'[1]UPE Por Fonte'!$K34</f>
        <v>14656200</v>
      </c>
      <c r="F32" s="12">
        <f>'[2]UPE Por Fonte'!$K34</f>
        <v>14037662.879999999</v>
      </c>
      <c r="G32" s="17">
        <f t="shared" si="3"/>
        <v>95.779689687640726</v>
      </c>
      <c r="H32" s="22" t="s">
        <v>83</v>
      </c>
      <c r="I32" s="14">
        <v>4</v>
      </c>
      <c r="J32" s="14">
        <v>1</v>
      </c>
      <c r="K32" s="86" t="s">
        <v>104</v>
      </c>
      <c r="L32" s="67"/>
      <c r="M32" s="20"/>
      <c r="N32" s="20"/>
    </row>
    <row r="33" spans="1:14" ht="31.5" x14ac:dyDescent="0.25">
      <c r="A33" s="7"/>
      <c r="B33" s="8"/>
      <c r="C33" s="9" t="s">
        <v>51</v>
      </c>
      <c r="D33" s="10" t="s">
        <v>52</v>
      </c>
      <c r="E33" s="12">
        <f>'[1]UPE Por Fonte'!$K35</f>
        <v>210800</v>
      </c>
      <c r="F33" s="12">
        <f>'[2]UPE Por Fonte'!$K35</f>
        <v>210800</v>
      </c>
      <c r="G33" s="17">
        <f t="shared" si="3"/>
        <v>100</v>
      </c>
      <c r="H33" s="22" t="s">
        <v>83</v>
      </c>
      <c r="I33" s="14">
        <v>2</v>
      </c>
      <c r="J33" s="14">
        <v>2</v>
      </c>
      <c r="K33" s="86"/>
      <c r="L33" s="67"/>
      <c r="M33" s="20"/>
      <c r="N33" s="20"/>
    </row>
    <row r="34" spans="1:14" ht="45" x14ac:dyDescent="0.25">
      <c r="A34" s="7"/>
      <c r="B34" s="8" t="s">
        <v>53</v>
      </c>
      <c r="C34" s="163" t="s">
        <v>64</v>
      </c>
      <c r="D34" s="164"/>
      <c r="E34" s="19">
        <f>'[1]UPE Por Fonte'!$K36</f>
        <v>12704302.52</v>
      </c>
      <c r="F34" s="19">
        <f>'[2]UPE Por Fonte'!$K36</f>
        <v>9774924.2700000014</v>
      </c>
      <c r="G34" s="17">
        <f t="shared" si="3"/>
        <v>76.941841196017123</v>
      </c>
      <c r="H34" s="22" t="s">
        <v>83</v>
      </c>
      <c r="I34" s="11">
        <v>15</v>
      </c>
      <c r="J34" s="11">
        <v>15</v>
      </c>
      <c r="K34" s="86" t="s">
        <v>107</v>
      </c>
      <c r="L34" s="69"/>
      <c r="M34" s="20"/>
      <c r="N34" s="20"/>
    </row>
    <row r="35" spans="1:14" x14ac:dyDescent="0.25">
      <c r="A35" s="7"/>
      <c r="B35" s="8" t="s">
        <v>54</v>
      </c>
      <c r="C35" s="163" t="s">
        <v>55</v>
      </c>
      <c r="D35" s="164"/>
      <c r="E35" s="11">
        <f>SUM(E36:E38)</f>
        <v>6912000</v>
      </c>
      <c r="F35" s="11">
        <f>SUM(F36:F38)</f>
        <v>6341559.0100000007</v>
      </c>
      <c r="G35" s="17">
        <f t="shared" si="3"/>
        <v>91.747092158564826</v>
      </c>
      <c r="H35" s="22"/>
      <c r="I35" s="11"/>
      <c r="J35" s="11"/>
      <c r="K35" s="86"/>
      <c r="L35" s="69"/>
      <c r="M35" s="20"/>
      <c r="N35" s="20"/>
    </row>
    <row r="36" spans="1:14" ht="31.5" x14ac:dyDescent="0.25">
      <c r="A36" s="7"/>
      <c r="B36" s="8"/>
      <c r="C36" s="4" t="s">
        <v>5</v>
      </c>
      <c r="D36" s="5" t="s">
        <v>74</v>
      </c>
      <c r="E36" s="12">
        <f>'[1]UPE Por Fonte'!$K38</f>
        <v>6499000</v>
      </c>
      <c r="F36" s="12">
        <f>'[2]UPE Por Fonte'!$K38</f>
        <v>6018962.9199999999</v>
      </c>
      <c r="G36" s="17">
        <f t="shared" si="3"/>
        <v>92.613677796584085</v>
      </c>
      <c r="H36" s="22" t="s">
        <v>83</v>
      </c>
      <c r="I36" s="12">
        <v>1</v>
      </c>
      <c r="J36" s="12">
        <v>1</v>
      </c>
      <c r="K36" s="88"/>
      <c r="L36" s="63"/>
      <c r="M36" s="20"/>
      <c r="N36" s="20"/>
    </row>
    <row r="37" spans="1:14" ht="31.5" x14ac:dyDescent="0.25">
      <c r="A37" s="7"/>
      <c r="B37" s="8"/>
      <c r="C37" s="9" t="s">
        <v>75</v>
      </c>
      <c r="D37" s="10" t="s">
        <v>56</v>
      </c>
      <c r="E37" s="12">
        <f>'[1]UPE Por Fonte'!$K39</f>
        <v>170000</v>
      </c>
      <c r="F37" s="12">
        <f>'[2]UPE Por Fonte'!$K39</f>
        <v>161550.94</v>
      </c>
      <c r="G37" s="17">
        <f t="shared" si="3"/>
        <v>95.02996470588235</v>
      </c>
      <c r="H37" s="23" t="s">
        <v>87</v>
      </c>
      <c r="I37" s="13"/>
      <c r="J37" s="13"/>
      <c r="K37" s="89"/>
      <c r="L37" s="64"/>
      <c r="M37" s="20"/>
      <c r="N37" s="20"/>
    </row>
    <row r="38" spans="1:14" ht="32.25" thickBot="1" x14ac:dyDescent="0.3">
      <c r="A38" s="35"/>
      <c r="B38" s="36"/>
      <c r="C38" s="37" t="s">
        <v>76</v>
      </c>
      <c r="D38" s="38" t="s">
        <v>57</v>
      </c>
      <c r="E38" s="30">
        <f>'[1]UPE Por Fonte'!$K40</f>
        <v>243000</v>
      </c>
      <c r="F38" s="30">
        <f>'[2]UPE Por Fonte'!$K40</f>
        <v>161045.15</v>
      </c>
      <c r="G38" s="17">
        <f t="shared" si="3"/>
        <v>66.273724279835392</v>
      </c>
      <c r="H38" s="32" t="s">
        <v>87</v>
      </c>
      <c r="I38" s="33"/>
      <c r="J38" s="33"/>
      <c r="K38" s="87" t="s">
        <v>106</v>
      </c>
      <c r="L38" s="65"/>
      <c r="M38" s="20"/>
      <c r="N38" s="20"/>
    </row>
    <row r="39" spans="1:14" ht="21" customHeight="1" thickBot="1" x14ac:dyDescent="0.3">
      <c r="A39" s="55" t="s">
        <v>58</v>
      </c>
      <c r="B39" s="154" t="s">
        <v>59</v>
      </c>
      <c r="C39" s="154"/>
      <c r="D39" s="155"/>
      <c r="E39" s="57">
        <f t="shared" ref="E39:F39" si="9">E40</f>
        <v>5000</v>
      </c>
      <c r="F39" s="57">
        <f t="shared" si="9"/>
        <v>0</v>
      </c>
      <c r="G39" s="58">
        <f t="shared" si="3"/>
        <v>0</v>
      </c>
      <c r="H39" s="59"/>
      <c r="I39" s="57"/>
      <c r="J39" s="57"/>
      <c r="K39" s="78"/>
      <c r="L39" s="61" t="s">
        <v>91</v>
      </c>
      <c r="M39" s="20"/>
      <c r="N39" s="20"/>
    </row>
    <row r="40" spans="1:14" ht="32.25" thickBot="1" x14ac:dyDescent="0.3">
      <c r="A40" s="50"/>
      <c r="B40" s="51" t="s">
        <v>60</v>
      </c>
      <c r="C40" s="156" t="s">
        <v>61</v>
      </c>
      <c r="D40" s="157"/>
      <c r="E40" s="44">
        <f>'[1]UPE Por Fonte'!$K42</f>
        <v>5000</v>
      </c>
      <c r="F40" s="44">
        <f>'[2]UPE Por Fonte'!$K42</f>
        <v>0</v>
      </c>
      <c r="G40" s="52">
        <f t="shared" si="3"/>
        <v>0</v>
      </c>
      <c r="H40" s="53" t="s">
        <v>85</v>
      </c>
      <c r="I40" s="54">
        <v>1</v>
      </c>
      <c r="J40" s="54">
        <v>1</v>
      </c>
      <c r="K40" s="90" t="s">
        <v>105</v>
      </c>
      <c r="L40" s="70"/>
      <c r="M40" s="20"/>
      <c r="N40" s="20"/>
    </row>
    <row r="41" spans="1:14" ht="25.5" customHeight="1" thickBot="1" x14ac:dyDescent="0.3">
      <c r="A41" s="158" t="s">
        <v>62</v>
      </c>
      <c r="B41" s="159"/>
      <c r="C41" s="159"/>
      <c r="D41" s="160"/>
      <c r="E41" s="15">
        <f>E39+E24+E21+E17+E12+E6</f>
        <v>706712540.6400001</v>
      </c>
      <c r="F41" s="15">
        <f>F39+F24+F21+F17+F12+F6</f>
        <v>683556487.86000001</v>
      </c>
      <c r="G41" s="18">
        <f t="shared" si="3"/>
        <v>96.723412781237769</v>
      </c>
      <c r="H41" s="24"/>
      <c r="I41" s="15"/>
      <c r="J41" s="15"/>
      <c r="K41" s="91"/>
      <c r="L41" s="71"/>
      <c r="M41" s="20"/>
      <c r="N41" s="20"/>
    </row>
    <row r="42" spans="1:14" ht="20.25" customHeight="1" x14ac:dyDescent="0.25">
      <c r="A42" s="74" t="s">
        <v>77</v>
      </c>
    </row>
    <row r="43" spans="1:14" ht="60" customHeight="1" x14ac:dyDescent="0.25">
      <c r="A43" s="149" t="s">
        <v>92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</row>
    <row r="44" spans="1:14" ht="40.5" customHeight="1" x14ac:dyDescent="0.25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</row>
    <row r="45" spans="1:14" ht="16.5" x14ac:dyDescent="0.25">
      <c r="A45" s="74"/>
    </row>
  </sheetData>
  <autoFilter ref="A5:L43"/>
  <mergeCells count="36">
    <mergeCell ref="G4:G5"/>
    <mergeCell ref="C25:D25"/>
    <mergeCell ref="C26:D26"/>
    <mergeCell ref="B17:D17"/>
    <mergeCell ref="C18:D18"/>
    <mergeCell ref="C19:D19"/>
    <mergeCell ref="C20:D20"/>
    <mergeCell ref="B12:D12"/>
    <mergeCell ref="C13:D13"/>
    <mergeCell ref="C14:D14"/>
    <mergeCell ref="C15:D15"/>
    <mergeCell ref="C16:D16"/>
    <mergeCell ref="A1:L1"/>
    <mergeCell ref="A2:L2"/>
    <mergeCell ref="A3:L3"/>
    <mergeCell ref="B6:D6"/>
    <mergeCell ref="C7:D7"/>
    <mergeCell ref="H4:H5"/>
    <mergeCell ref="K4:K5"/>
    <mergeCell ref="L4:L5"/>
    <mergeCell ref="I4:J4"/>
    <mergeCell ref="A4:D5"/>
    <mergeCell ref="E4:E5"/>
    <mergeCell ref="F4:F5"/>
    <mergeCell ref="A43:L43"/>
    <mergeCell ref="C22:D22"/>
    <mergeCell ref="C23:D23"/>
    <mergeCell ref="B24:D24"/>
    <mergeCell ref="B21:D21"/>
    <mergeCell ref="C40:D40"/>
    <mergeCell ref="A41:D41"/>
    <mergeCell ref="C27:D27"/>
    <mergeCell ref="C31:D31"/>
    <mergeCell ref="C34:D34"/>
    <mergeCell ref="C35:D35"/>
    <mergeCell ref="B39:D39"/>
  </mergeCells>
  <pageMargins left="0.39370078740157483" right="0.62992125984251968" top="0.39370078740157483" bottom="0.23622047244094491" header="0" footer="0"/>
  <pageSetup paperSize="9" scale="50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tabSelected="1" topLeftCell="A3" zoomScale="86" zoomScaleNormal="86" workbookViewId="0">
      <pane xSplit="9" ySplit="2" topLeftCell="J62" activePane="bottomRight" state="frozen"/>
      <selection activeCell="A3" sqref="A3"/>
      <selection pane="topRight" activeCell="K3" sqref="K3"/>
      <selection pane="bottomLeft" activeCell="A5" sqref="A5"/>
      <selection pane="bottomRight" activeCell="A70" sqref="A70:H70"/>
    </sheetView>
  </sheetViews>
  <sheetFormatPr defaultRowHeight="15.75" x14ac:dyDescent="0.25"/>
  <cols>
    <col min="1" max="1" width="8.42578125" style="1" customWidth="1"/>
    <col min="2" max="2" width="9" style="1" customWidth="1"/>
    <col min="3" max="3" width="7.42578125" style="16" customWidth="1"/>
    <col min="4" max="4" width="6.42578125" style="1" bestFit="1" customWidth="1"/>
    <col min="5" max="5" width="11" style="1" customWidth="1"/>
    <col min="6" max="6" width="28.42578125" style="132" bestFit="1" customWidth="1"/>
    <col min="7" max="7" width="16.5703125" style="21" bestFit="1" customWidth="1"/>
    <col min="8" max="8" width="66.85546875" style="132" customWidth="1"/>
    <col min="9" max="9" width="15.28515625" bestFit="1" customWidth="1"/>
    <col min="10" max="10" width="47.85546875" style="134" customWidth="1"/>
    <col min="11" max="11" width="15.28515625" style="60" customWidth="1"/>
    <col min="12" max="12" width="15.28515625" bestFit="1" customWidth="1"/>
    <col min="13" max="13" width="13.140625" bestFit="1" customWidth="1"/>
    <col min="14" max="15" width="15.28515625" bestFit="1" customWidth="1"/>
    <col min="16" max="16" width="10.42578125" bestFit="1" customWidth="1"/>
    <col min="17" max="17" width="11.7109375" bestFit="1" customWidth="1"/>
  </cols>
  <sheetData>
    <row r="1" spans="1:16" ht="23.25" x14ac:dyDescent="0.25">
      <c r="A1" s="167" t="s">
        <v>66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23.25" x14ac:dyDescent="0.25">
      <c r="A2" s="167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24" thickBot="1" x14ac:dyDescent="0.3">
      <c r="A3" s="168" t="s">
        <v>266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6" ht="65.25" customHeight="1" thickBot="1" x14ac:dyDescent="0.3">
      <c r="A4" s="93" t="s">
        <v>110</v>
      </c>
      <c r="B4" s="93" t="s">
        <v>111</v>
      </c>
      <c r="C4" s="93" t="s">
        <v>112</v>
      </c>
      <c r="D4" s="94" t="s">
        <v>113</v>
      </c>
      <c r="E4" s="94" t="s">
        <v>114</v>
      </c>
      <c r="F4" s="95" t="s">
        <v>115</v>
      </c>
      <c r="G4" s="96" t="s">
        <v>116</v>
      </c>
      <c r="H4" s="97" t="s">
        <v>117</v>
      </c>
      <c r="I4" s="97" t="s">
        <v>265</v>
      </c>
      <c r="J4" s="97" t="s">
        <v>267</v>
      </c>
      <c r="K4" s="97" t="s">
        <v>118</v>
      </c>
      <c r="L4" s="97" t="s">
        <v>119</v>
      </c>
      <c r="M4" s="97" t="s">
        <v>120</v>
      </c>
      <c r="N4" s="97" t="s">
        <v>121</v>
      </c>
      <c r="O4" s="97" t="s">
        <v>122</v>
      </c>
      <c r="P4" s="97" t="s">
        <v>123</v>
      </c>
    </row>
    <row r="5" spans="1:16" s="99" customFormat="1" ht="96.75" customHeight="1" thickBot="1" x14ac:dyDescent="0.3">
      <c r="A5" s="112" t="s">
        <v>17</v>
      </c>
      <c r="B5" s="112" t="s">
        <v>158</v>
      </c>
      <c r="C5" s="112" t="s">
        <v>125</v>
      </c>
      <c r="D5" s="112" t="s">
        <v>126</v>
      </c>
      <c r="E5" s="113" t="s">
        <v>277</v>
      </c>
      <c r="F5" s="114" t="s">
        <v>159</v>
      </c>
      <c r="G5" s="113" t="s">
        <v>160</v>
      </c>
      <c r="H5" s="114" t="s">
        <v>161</v>
      </c>
      <c r="I5" s="115">
        <v>500000</v>
      </c>
      <c r="J5" s="136" t="s">
        <v>348</v>
      </c>
      <c r="K5" s="116">
        <v>500000</v>
      </c>
      <c r="L5" s="116">
        <v>48400</v>
      </c>
      <c r="M5" s="117">
        <f>K5-L5</f>
        <v>451600</v>
      </c>
      <c r="N5" s="116">
        <v>48400</v>
      </c>
      <c r="O5" s="117">
        <f>L5-N5</f>
        <v>0</v>
      </c>
      <c r="P5" s="116"/>
    </row>
    <row r="6" spans="1:16" s="99" customFormat="1" ht="24.95" customHeight="1" thickBot="1" x14ac:dyDescent="0.3">
      <c r="A6" s="148" t="s">
        <v>17</v>
      </c>
      <c r="B6" s="191" t="s">
        <v>349</v>
      </c>
      <c r="C6" s="192"/>
      <c r="D6" s="192"/>
      <c r="E6" s="192"/>
      <c r="F6" s="192"/>
      <c r="G6" s="192"/>
      <c r="H6" s="193"/>
      <c r="I6" s="110">
        <f>I5</f>
        <v>500000</v>
      </c>
      <c r="J6" s="110"/>
      <c r="K6" s="110">
        <f t="shared" ref="K6:P6" si="0">K5</f>
        <v>500000</v>
      </c>
      <c r="L6" s="110">
        <f t="shared" si="0"/>
        <v>48400</v>
      </c>
      <c r="M6" s="110">
        <f t="shared" si="0"/>
        <v>451600</v>
      </c>
      <c r="N6" s="110">
        <f t="shared" si="0"/>
        <v>48400</v>
      </c>
      <c r="O6" s="110">
        <f t="shared" si="0"/>
        <v>0</v>
      </c>
      <c r="P6" s="110">
        <f t="shared" si="0"/>
        <v>0</v>
      </c>
    </row>
    <row r="7" spans="1:16" s="99" customFormat="1" ht="31.5" x14ac:dyDescent="0.25">
      <c r="A7" s="101" t="s">
        <v>19</v>
      </c>
      <c r="B7" s="118" t="s">
        <v>144</v>
      </c>
      <c r="C7" s="118" t="s">
        <v>125</v>
      </c>
      <c r="D7" s="137">
        <v>2019</v>
      </c>
      <c r="E7" s="118" t="s">
        <v>273</v>
      </c>
      <c r="F7" s="131" t="s">
        <v>145</v>
      </c>
      <c r="G7" s="102" t="s">
        <v>146</v>
      </c>
      <c r="H7" s="119" t="s">
        <v>147</v>
      </c>
      <c r="I7" s="104">
        <v>72800</v>
      </c>
      <c r="J7" s="105" t="s">
        <v>148</v>
      </c>
      <c r="K7" s="109">
        <v>72800</v>
      </c>
      <c r="L7" s="109">
        <f>72800</f>
        <v>72800</v>
      </c>
      <c r="M7" s="98">
        <f t="shared" ref="M7:M44" si="1">K7-L7</f>
        <v>0</v>
      </c>
      <c r="N7" s="109">
        <f>72800</f>
        <v>72800</v>
      </c>
      <c r="O7" s="98">
        <f t="shared" ref="O7:O44" si="2">L7-N7</f>
        <v>0</v>
      </c>
      <c r="P7" s="109">
        <f>3181.36</f>
        <v>3181.36</v>
      </c>
    </row>
    <row r="8" spans="1:16" s="99" customFormat="1" ht="47.25" x14ac:dyDescent="0.25">
      <c r="A8" s="118" t="s">
        <v>19</v>
      </c>
      <c r="B8" s="118" t="s">
        <v>170</v>
      </c>
      <c r="C8" s="101" t="s">
        <v>125</v>
      </c>
      <c r="D8" s="118" t="s">
        <v>167</v>
      </c>
      <c r="E8" s="118" t="s">
        <v>280</v>
      </c>
      <c r="F8" s="131" t="s">
        <v>171</v>
      </c>
      <c r="G8" s="106" t="s">
        <v>169</v>
      </c>
      <c r="H8" s="119" t="s">
        <v>330</v>
      </c>
      <c r="I8" s="104">
        <v>31399.15</v>
      </c>
      <c r="J8" s="130" t="s">
        <v>172</v>
      </c>
      <c r="K8" s="120">
        <v>31399.15</v>
      </c>
      <c r="L8" s="109">
        <f>31399.15</f>
        <v>31399.15</v>
      </c>
      <c r="M8" s="98">
        <f t="shared" si="1"/>
        <v>0</v>
      </c>
      <c r="N8" s="109"/>
      <c r="O8" s="98">
        <f t="shared" si="2"/>
        <v>31399.15</v>
      </c>
      <c r="P8" s="109"/>
    </row>
    <row r="9" spans="1:16" s="99" customFormat="1" ht="31.5" x14ac:dyDescent="0.25">
      <c r="A9" s="118" t="s">
        <v>19</v>
      </c>
      <c r="B9" s="118" t="s">
        <v>173</v>
      </c>
      <c r="C9" s="101" t="s">
        <v>125</v>
      </c>
      <c r="D9" s="118" t="s">
        <v>167</v>
      </c>
      <c r="E9" s="118" t="s">
        <v>281</v>
      </c>
      <c r="F9" s="131" t="s">
        <v>174</v>
      </c>
      <c r="G9" s="106" t="s">
        <v>169</v>
      </c>
      <c r="H9" s="119" t="s">
        <v>331</v>
      </c>
      <c r="I9" s="104">
        <v>19624.54</v>
      </c>
      <c r="J9" s="194" t="s">
        <v>172</v>
      </c>
      <c r="K9" s="120">
        <v>19624.54</v>
      </c>
      <c r="L9" s="109">
        <f>19624.54</f>
        <v>19624.54</v>
      </c>
      <c r="M9" s="98">
        <f t="shared" si="1"/>
        <v>0</v>
      </c>
      <c r="N9" s="109"/>
      <c r="O9" s="98">
        <f t="shared" si="2"/>
        <v>19624.54</v>
      </c>
      <c r="P9" s="109"/>
    </row>
    <row r="10" spans="1:16" s="99" customFormat="1" ht="31.5" x14ac:dyDescent="0.25">
      <c r="A10" s="118" t="s">
        <v>19</v>
      </c>
      <c r="B10" s="118" t="s">
        <v>175</v>
      </c>
      <c r="C10" s="101" t="s">
        <v>125</v>
      </c>
      <c r="D10" s="118" t="s">
        <v>167</v>
      </c>
      <c r="E10" s="118" t="s">
        <v>282</v>
      </c>
      <c r="F10" s="131" t="s">
        <v>176</v>
      </c>
      <c r="G10" s="106" t="s">
        <v>169</v>
      </c>
      <c r="H10" s="119" t="s">
        <v>332</v>
      </c>
      <c r="I10" s="104">
        <v>15699.64</v>
      </c>
      <c r="J10" s="195"/>
      <c r="K10" s="120">
        <v>15699.64</v>
      </c>
      <c r="L10" s="109">
        <f>15699.64</f>
        <v>15699.64</v>
      </c>
      <c r="M10" s="98">
        <f t="shared" si="1"/>
        <v>0</v>
      </c>
      <c r="N10" s="109"/>
      <c r="O10" s="98">
        <f t="shared" si="2"/>
        <v>15699.64</v>
      </c>
      <c r="P10" s="109"/>
    </row>
    <row r="11" spans="1:16" s="99" customFormat="1" ht="31.5" x14ac:dyDescent="0.25">
      <c r="A11" s="118" t="s">
        <v>19</v>
      </c>
      <c r="B11" s="118" t="s">
        <v>177</v>
      </c>
      <c r="C11" s="101" t="s">
        <v>125</v>
      </c>
      <c r="D11" s="118" t="s">
        <v>167</v>
      </c>
      <c r="E11" s="118" t="s">
        <v>283</v>
      </c>
      <c r="F11" s="131" t="s">
        <v>178</v>
      </c>
      <c r="G11" s="106" t="s">
        <v>169</v>
      </c>
      <c r="H11" s="119" t="s">
        <v>333</v>
      </c>
      <c r="I11" s="104">
        <v>23549.43</v>
      </c>
      <c r="J11" s="195"/>
      <c r="K11" s="120">
        <v>23549.43</v>
      </c>
      <c r="L11" s="109">
        <f>23549.43</f>
        <v>23549.43</v>
      </c>
      <c r="M11" s="98">
        <f t="shared" si="1"/>
        <v>0</v>
      </c>
      <c r="N11" s="109"/>
      <c r="O11" s="98">
        <f t="shared" si="2"/>
        <v>23549.43</v>
      </c>
      <c r="P11" s="109"/>
    </row>
    <row r="12" spans="1:16" s="99" customFormat="1" ht="31.5" x14ac:dyDescent="0.25">
      <c r="A12" s="118" t="s">
        <v>19</v>
      </c>
      <c r="B12" s="118" t="s">
        <v>181</v>
      </c>
      <c r="C12" s="101" t="s">
        <v>125</v>
      </c>
      <c r="D12" s="118" t="s">
        <v>167</v>
      </c>
      <c r="E12" s="118" t="s">
        <v>285</v>
      </c>
      <c r="F12" s="131" t="s">
        <v>182</v>
      </c>
      <c r="G12" s="106" t="s">
        <v>169</v>
      </c>
      <c r="H12" s="119" t="s">
        <v>335</v>
      </c>
      <c r="I12" s="104">
        <v>78496.94</v>
      </c>
      <c r="J12" s="195"/>
      <c r="K12" s="120">
        <v>78496.94</v>
      </c>
      <c r="L12" s="109">
        <f>78496.94</f>
        <v>78496.94</v>
      </c>
      <c r="M12" s="98">
        <f t="shared" si="1"/>
        <v>0</v>
      </c>
      <c r="N12" s="109"/>
      <c r="O12" s="98">
        <f t="shared" si="2"/>
        <v>78496.94</v>
      </c>
      <c r="P12" s="109"/>
    </row>
    <row r="13" spans="1:16" s="99" customFormat="1" ht="31.5" x14ac:dyDescent="0.25">
      <c r="A13" s="118" t="s">
        <v>19</v>
      </c>
      <c r="B13" s="118" t="s">
        <v>184</v>
      </c>
      <c r="C13" s="101" t="s">
        <v>125</v>
      </c>
      <c r="D13" s="118" t="s">
        <v>167</v>
      </c>
      <c r="E13" s="118" t="s">
        <v>287</v>
      </c>
      <c r="F13" s="131" t="s">
        <v>185</v>
      </c>
      <c r="G13" s="106" t="s">
        <v>169</v>
      </c>
      <c r="H13" s="119" t="s">
        <v>336</v>
      </c>
      <c r="I13" s="104">
        <v>78497.97</v>
      </c>
      <c r="J13" s="195"/>
      <c r="K13" s="120">
        <v>78497.97</v>
      </c>
      <c r="L13" s="109">
        <f>78497.97</f>
        <v>78497.97</v>
      </c>
      <c r="M13" s="98">
        <f t="shared" si="1"/>
        <v>0</v>
      </c>
      <c r="N13" s="109"/>
      <c r="O13" s="98">
        <f t="shared" si="2"/>
        <v>78497.97</v>
      </c>
      <c r="P13" s="109"/>
    </row>
    <row r="14" spans="1:16" s="99" customFormat="1" ht="31.5" x14ac:dyDescent="0.25">
      <c r="A14" s="118" t="s">
        <v>19</v>
      </c>
      <c r="B14" s="118" t="s">
        <v>186</v>
      </c>
      <c r="C14" s="101" t="s">
        <v>125</v>
      </c>
      <c r="D14" s="118" t="s">
        <v>167</v>
      </c>
      <c r="E14" s="118" t="s">
        <v>288</v>
      </c>
      <c r="F14" s="131" t="s">
        <v>187</v>
      </c>
      <c r="G14" s="106" t="s">
        <v>169</v>
      </c>
      <c r="H14" s="119" t="s">
        <v>337</v>
      </c>
      <c r="I14" s="104">
        <v>15699.64</v>
      </c>
      <c r="J14" s="195"/>
      <c r="K14" s="120">
        <v>15699.64</v>
      </c>
      <c r="L14" s="109">
        <f>15699.64</f>
        <v>15699.64</v>
      </c>
      <c r="M14" s="98">
        <f t="shared" si="1"/>
        <v>0</v>
      </c>
      <c r="N14" s="109"/>
      <c r="O14" s="98">
        <f t="shared" si="2"/>
        <v>15699.64</v>
      </c>
      <c r="P14" s="109"/>
    </row>
    <row r="15" spans="1:16" s="99" customFormat="1" ht="31.5" x14ac:dyDescent="0.25">
      <c r="A15" s="118" t="s">
        <v>19</v>
      </c>
      <c r="B15" s="118" t="s">
        <v>188</v>
      </c>
      <c r="C15" s="101" t="s">
        <v>125</v>
      </c>
      <c r="D15" s="118" t="s">
        <v>167</v>
      </c>
      <c r="E15" s="118" t="s">
        <v>289</v>
      </c>
      <c r="F15" s="131" t="s">
        <v>189</v>
      </c>
      <c r="G15" s="106" t="s">
        <v>169</v>
      </c>
      <c r="H15" s="119" t="s">
        <v>338</v>
      </c>
      <c r="I15" s="104">
        <v>23549.43</v>
      </c>
      <c r="J15" s="195"/>
      <c r="K15" s="120">
        <v>23549.43</v>
      </c>
      <c r="L15" s="109">
        <f>23549.43</f>
        <v>23549.43</v>
      </c>
      <c r="M15" s="98">
        <f t="shared" si="1"/>
        <v>0</v>
      </c>
      <c r="N15" s="109"/>
      <c r="O15" s="98">
        <f t="shared" si="2"/>
        <v>23549.43</v>
      </c>
      <c r="P15" s="109"/>
    </row>
    <row r="16" spans="1:16" s="99" customFormat="1" ht="31.5" x14ac:dyDescent="0.25">
      <c r="A16" s="118" t="s">
        <v>19</v>
      </c>
      <c r="B16" s="118" t="s">
        <v>190</v>
      </c>
      <c r="C16" s="101" t="s">
        <v>125</v>
      </c>
      <c r="D16" s="118" t="s">
        <v>167</v>
      </c>
      <c r="E16" s="118" t="s">
        <v>290</v>
      </c>
      <c r="F16" s="131" t="s">
        <v>191</v>
      </c>
      <c r="G16" s="106" t="s">
        <v>169</v>
      </c>
      <c r="H16" s="119" t="s">
        <v>331</v>
      </c>
      <c r="I16" s="104">
        <v>15699.64</v>
      </c>
      <c r="J16" s="195"/>
      <c r="K16" s="120">
        <v>15699.64</v>
      </c>
      <c r="L16" s="109">
        <f>15699.64</f>
        <v>15699.64</v>
      </c>
      <c r="M16" s="98">
        <f t="shared" si="1"/>
        <v>0</v>
      </c>
      <c r="N16" s="109"/>
      <c r="O16" s="98">
        <f t="shared" si="2"/>
        <v>15699.64</v>
      </c>
      <c r="P16" s="109"/>
    </row>
    <row r="17" spans="1:17" s="99" customFormat="1" ht="31.5" x14ac:dyDescent="0.25">
      <c r="A17" s="118" t="s">
        <v>19</v>
      </c>
      <c r="B17" s="118" t="s">
        <v>198</v>
      </c>
      <c r="C17" s="101" t="s">
        <v>125</v>
      </c>
      <c r="D17" s="118" t="s">
        <v>167</v>
      </c>
      <c r="E17" s="118" t="s">
        <v>294</v>
      </c>
      <c r="F17" s="131" t="s">
        <v>199</v>
      </c>
      <c r="G17" s="106" t="s">
        <v>169</v>
      </c>
      <c r="H17" s="119" t="s">
        <v>339</v>
      </c>
      <c r="I17" s="104">
        <v>39249.279999999999</v>
      </c>
      <c r="J17" s="195"/>
      <c r="K17" s="120">
        <v>39249.279999999999</v>
      </c>
      <c r="L17" s="109">
        <f>39249.28</f>
        <v>39249.279999999999</v>
      </c>
      <c r="M17" s="98">
        <f t="shared" si="1"/>
        <v>0</v>
      </c>
      <c r="N17" s="109"/>
      <c r="O17" s="98">
        <f t="shared" si="2"/>
        <v>39249.279999999999</v>
      </c>
      <c r="P17" s="109"/>
    </row>
    <row r="18" spans="1:17" s="99" customFormat="1" ht="31.5" x14ac:dyDescent="0.25">
      <c r="A18" s="118" t="s">
        <v>19</v>
      </c>
      <c r="B18" s="118" t="s">
        <v>202</v>
      </c>
      <c r="C18" s="101" t="s">
        <v>125</v>
      </c>
      <c r="D18" s="118" t="s">
        <v>167</v>
      </c>
      <c r="E18" s="118" t="s">
        <v>296</v>
      </c>
      <c r="F18" s="131" t="s">
        <v>203</v>
      </c>
      <c r="G18" s="106" t="s">
        <v>169</v>
      </c>
      <c r="H18" s="119" t="s">
        <v>340</v>
      </c>
      <c r="I18" s="104">
        <v>39249.1</v>
      </c>
      <c r="J18" s="195"/>
      <c r="K18" s="120">
        <v>39249.1</v>
      </c>
      <c r="L18" s="109">
        <f>39249.1</f>
        <v>39249.1</v>
      </c>
      <c r="M18" s="98">
        <f t="shared" si="1"/>
        <v>0</v>
      </c>
      <c r="N18" s="109"/>
      <c r="O18" s="98">
        <f t="shared" si="2"/>
        <v>39249.1</v>
      </c>
      <c r="P18" s="109"/>
    </row>
    <row r="19" spans="1:17" s="99" customFormat="1" ht="31.5" x14ac:dyDescent="0.25">
      <c r="A19" s="118" t="s">
        <v>19</v>
      </c>
      <c r="B19" s="118" t="s">
        <v>206</v>
      </c>
      <c r="C19" s="101" t="s">
        <v>125</v>
      </c>
      <c r="D19" s="118" t="s">
        <v>167</v>
      </c>
      <c r="E19" s="118" t="s">
        <v>298</v>
      </c>
      <c r="F19" s="131" t="s">
        <v>207</v>
      </c>
      <c r="G19" s="106" t="s">
        <v>169</v>
      </c>
      <c r="H19" s="119" t="s">
        <v>342</v>
      </c>
      <c r="I19" s="104">
        <v>15699.64</v>
      </c>
      <c r="J19" s="195"/>
      <c r="K19" s="120">
        <v>15699.64</v>
      </c>
      <c r="L19" s="109">
        <f>15699.64</f>
        <v>15699.64</v>
      </c>
      <c r="M19" s="98">
        <f t="shared" si="1"/>
        <v>0</v>
      </c>
      <c r="N19" s="109"/>
      <c r="O19" s="98">
        <f t="shared" si="2"/>
        <v>15699.64</v>
      </c>
      <c r="P19" s="109"/>
    </row>
    <row r="20" spans="1:17" s="99" customFormat="1" ht="31.5" x14ac:dyDescent="0.25">
      <c r="A20" s="118" t="s">
        <v>19</v>
      </c>
      <c r="B20" s="118" t="s">
        <v>210</v>
      </c>
      <c r="C20" s="101" t="s">
        <v>125</v>
      </c>
      <c r="D20" s="118" t="s">
        <v>167</v>
      </c>
      <c r="E20" s="118" t="s">
        <v>300</v>
      </c>
      <c r="F20" s="131" t="s">
        <v>209</v>
      </c>
      <c r="G20" s="106" t="s">
        <v>169</v>
      </c>
      <c r="H20" s="119" t="s">
        <v>342</v>
      </c>
      <c r="I20" s="104">
        <v>15699.65</v>
      </c>
      <c r="J20" s="195"/>
      <c r="K20" s="120">
        <v>15699.65</v>
      </c>
      <c r="L20" s="109">
        <f>15669.65</f>
        <v>15669.65</v>
      </c>
      <c r="M20" s="98">
        <f t="shared" si="1"/>
        <v>30</v>
      </c>
      <c r="N20" s="109"/>
      <c r="O20" s="98">
        <f t="shared" si="2"/>
        <v>15669.65</v>
      </c>
      <c r="P20" s="109"/>
    </row>
    <row r="21" spans="1:17" s="99" customFormat="1" ht="31.5" x14ac:dyDescent="0.25">
      <c r="A21" s="118" t="s">
        <v>19</v>
      </c>
      <c r="B21" s="118" t="s">
        <v>213</v>
      </c>
      <c r="C21" s="101" t="s">
        <v>125</v>
      </c>
      <c r="D21" s="118" t="s">
        <v>167</v>
      </c>
      <c r="E21" s="118" t="s">
        <v>302</v>
      </c>
      <c r="F21" s="131" t="s">
        <v>214</v>
      </c>
      <c r="G21" s="106" t="s">
        <v>169</v>
      </c>
      <c r="H21" s="119" t="s">
        <v>344</v>
      </c>
      <c r="I21" s="104">
        <v>23549.43</v>
      </c>
      <c r="J21" s="196"/>
      <c r="K21" s="120">
        <v>23549.43</v>
      </c>
      <c r="L21" s="109">
        <f>23549.43</f>
        <v>23549.43</v>
      </c>
      <c r="M21" s="98">
        <f t="shared" si="1"/>
        <v>0</v>
      </c>
      <c r="N21" s="109"/>
      <c r="O21" s="98">
        <f t="shared" si="2"/>
        <v>23549.43</v>
      </c>
      <c r="P21" s="109"/>
      <c r="Q21" s="146"/>
    </row>
    <row r="22" spans="1:17" s="99" customFormat="1" ht="31.5" x14ac:dyDescent="0.25">
      <c r="A22" s="118" t="s">
        <v>19</v>
      </c>
      <c r="B22" s="118" t="s">
        <v>217</v>
      </c>
      <c r="C22" s="100" t="s">
        <v>125</v>
      </c>
      <c r="D22" s="118" t="s">
        <v>167</v>
      </c>
      <c r="E22" s="118" t="s">
        <v>304</v>
      </c>
      <c r="F22" s="131" t="s">
        <v>218</v>
      </c>
      <c r="G22" s="106" t="s">
        <v>169</v>
      </c>
      <c r="H22" s="119" t="s">
        <v>334</v>
      </c>
      <c r="I22" s="104">
        <v>39249.1</v>
      </c>
      <c r="J22" s="194" t="s">
        <v>346</v>
      </c>
      <c r="K22" s="120">
        <v>39249.1</v>
      </c>
      <c r="L22" s="120">
        <f>39249.1</f>
        <v>39249.1</v>
      </c>
      <c r="M22" s="98">
        <f t="shared" si="1"/>
        <v>0</v>
      </c>
      <c r="N22" s="109"/>
      <c r="O22" s="98">
        <f t="shared" si="2"/>
        <v>39249.1</v>
      </c>
      <c r="P22" s="109"/>
    </row>
    <row r="23" spans="1:17" s="99" customFormat="1" ht="31.5" x14ac:dyDescent="0.25">
      <c r="A23" s="118" t="s">
        <v>19</v>
      </c>
      <c r="B23" s="118" t="s">
        <v>208</v>
      </c>
      <c r="C23" s="100" t="s">
        <v>125</v>
      </c>
      <c r="D23" s="118" t="s">
        <v>167</v>
      </c>
      <c r="E23" s="118" t="s">
        <v>299</v>
      </c>
      <c r="F23" s="131" t="s">
        <v>209</v>
      </c>
      <c r="G23" s="106" t="s">
        <v>169</v>
      </c>
      <c r="H23" s="119" t="s">
        <v>343</v>
      </c>
      <c r="I23" s="104">
        <v>15699.64</v>
      </c>
      <c r="J23" s="195"/>
      <c r="K23" s="120">
        <v>15699.64</v>
      </c>
      <c r="L23" s="120">
        <f>15699.64</f>
        <v>15699.64</v>
      </c>
      <c r="M23" s="98">
        <f t="shared" si="1"/>
        <v>0</v>
      </c>
      <c r="N23" s="109"/>
      <c r="O23" s="98">
        <f t="shared" si="2"/>
        <v>15699.64</v>
      </c>
      <c r="P23" s="109"/>
    </row>
    <row r="24" spans="1:17" s="99" customFormat="1" ht="31.5" x14ac:dyDescent="0.25">
      <c r="A24" s="118" t="s">
        <v>19</v>
      </c>
      <c r="B24" s="118" t="s">
        <v>179</v>
      </c>
      <c r="C24" s="100" t="s">
        <v>125</v>
      </c>
      <c r="D24" s="118" t="s">
        <v>167</v>
      </c>
      <c r="E24" s="118" t="s">
        <v>284</v>
      </c>
      <c r="F24" s="131" t="s">
        <v>180</v>
      </c>
      <c r="G24" s="106" t="s">
        <v>169</v>
      </c>
      <c r="H24" s="119" t="s">
        <v>334</v>
      </c>
      <c r="I24" s="104">
        <v>39249.07</v>
      </c>
      <c r="J24" s="195"/>
      <c r="K24" s="120">
        <v>39249.07</v>
      </c>
      <c r="L24" s="120">
        <v>39249.07</v>
      </c>
      <c r="M24" s="98">
        <f t="shared" si="1"/>
        <v>0</v>
      </c>
      <c r="N24" s="109"/>
      <c r="O24" s="98">
        <f t="shared" si="2"/>
        <v>39249.07</v>
      </c>
      <c r="P24" s="109"/>
    </row>
    <row r="25" spans="1:17" s="99" customFormat="1" ht="31.5" x14ac:dyDescent="0.25">
      <c r="A25" s="118" t="s">
        <v>19</v>
      </c>
      <c r="B25" s="118" t="s">
        <v>192</v>
      </c>
      <c r="C25" s="100" t="s">
        <v>125</v>
      </c>
      <c r="D25" s="118" t="s">
        <v>167</v>
      </c>
      <c r="E25" s="118" t="s">
        <v>291</v>
      </c>
      <c r="F25" s="131" t="s">
        <v>193</v>
      </c>
      <c r="G25" s="106" t="s">
        <v>169</v>
      </c>
      <c r="H25" s="119" t="s">
        <v>331</v>
      </c>
      <c r="I25" s="104">
        <v>23549.43</v>
      </c>
      <c r="J25" s="195"/>
      <c r="K25" s="120">
        <v>23549.43</v>
      </c>
      <c r="L25" s="120">
        <v>23549.43</v>
      </c>
      <c r="M25" s="98">
        <f t="shared" si="1"/>
        <v>0</v>
      </c>
      <c r="N25" s="109"/>
      <c r="O25" s="98">
        <f t="shared" si="2"/>
        <v>23549.43</v>
      </c>
      <c r="P25" s="109"/>
    </row>
    <row r="26" spans="1:17" s="99" customFormat="1" ht="31.5" x14ac:dyDescent="0.25">
      <c r="A26" s="118" t="s">
        <v>19</v>
      </c>
      <c r="B26" s="118" t="s">
        <v>211</v>
      </c>
      <c r="C26" s="100" t="s">
        <v>125</v>
      </c>
      <c r="D26" s="118" t="s">
        <v>167</v>
      </c>
      <c r="E26" s="118" t="s">
        <v>301</v>
      </c>
      <c r="F26" s="131" t="s">
        <v>212</v>
      </c>
      <c r="G26" s="106" t="s">
        <v>169</v>
      </c>
      <c r="H26" s="119" t="s">
        <v>331</v>
      </c>
      <c r="I26" s="104">
        <v>15699.64</v>
      </c>
      <c r="J26" s="195"/>
      <c r="K26" s="120">
        <v>15699.64</v>
      </c>
      <c r="L26" s="120">
        <f>15699.64</f>
        <v>15699.64</v>
      </c>
      <c r="M26" s="98">
        <f t="shared" si="1"/>
        <v>0</v>
      </c>
      <c r="N26" s="109"/>
      <c r="O26" s="98">
        <f t="shared" si="2"/>
        <v>15699.64</v>
      </c>
      <c r="P26" s="109"/>
    </row>
    <row r="27" spans="1:17" s="99" customFormat="1" ht="45" x14ac:dyDescent="0.25">
      <c r="A27" s="118" t="s">
        <v>19</v>
      </c>
      <c r="B27" s="118" t="s">
        <v>194</v>
      </c>
      <c r="C27" s="100" t="s">
        <v>125</v>
      </c>
      <c r="D27" s="118" t="s">
        <v>167</v>
      </c>
      <c r="E27" s="118" t="s">
        <v>292</v>
      </c>
      <c r="F27" s="131" t="s">
        <v>195</v>
      </c>
      <c r="G27" s="106" t="s">
        <v>169</v>
      </c>
      <c r="H27" s="119" t="s">
        <v>329</v>
      </c>
      <c r="I27" s="104">
        <v>23549.43</v>
      </c>
      <c r="J27" s="195"/>
      <c r="K27" s="120">
        <v>23549.43</v>
      </c>
      <c r="L27" s="120">
        <f>23549.43</f>
        <v>23549.43</v>
      </c>
      <c r="M27" s="98">
        <f t="shared" si="1"/>
        <v>0</v>
      </c>
      <c r="N27" s="109"/>
      <c r="O27" s="98">
        <f t="shared" si="2"/>
        <v>23549.43</v>
      </c>
      <c r="P27" s="109"/>
    </row>
    <row r="28" spans="1:17" s="99" customFormat="1" ht="31.5" x14ac:dyDescent="0.25">
      <c r="A28" s="118" t="s">
        <v>19</v>
      </c>
      <c r="B28" s="118" t="s">
        <v>183</v>
      </c>
      <c r="C28" s="100" t="s">
        <v>125</v>
      </c>
      <c r="D28" s="118" t="s">
        <v>167</v>
      </c>
      <c r="E28" s="118" t="s">
        <v>286</v>
      </c>
      <c r="F28" s="131" t="s">
        <v>132</v>
      </c>
      <c r="G28" s="106" t="s">
        <v>169</v>
      </c>
      <c r="H28" s="119" t="s">
        <v>334</v>
      </c>
      <c r="I28" s="104">
        <v>70648.12</v>
      </c>
      <c r="J28" s="195"/>
      <c r="K28" s="120">
        <v>70648.12</v>
      </c>
      <c r="L28" s="120">
        <f>70648.12</f>
        <v>70648.12</v>
      </c>
      <c r="M28" s="98">
        <f t="shared" si="1"/>
        <v>0</v>
      </c>
      <c r="N28" s="109"/>
      <c r="O28" s="98">
        <f t="shared" si="2"/>
        <v>70648.12</v>
      </c>
      <c r="P28" s="109"/>
    </row>
    <row r="29" spans="1:17" s="99" customFormat="1" ht="45" x14ac:dyDescent="0.25">
      <c r="A29" s="118" t="s">
        <v>19</v>
      </c>
      <c r="B29" s="118" t="s">
        <v>196</v>
      </c>
      <c r="C29" s="100" t="s">
        <v>125</v>
      </c>
      <c r="D29" s="118" t="s">
        <v>167</v>
      </c>
      <c r="E29" s="118" t="s">
        <v>293</v>
      </c>
      <c r="F29" s="131" t="s">
        <v>197</v>
      </c>
      <c r="G29" s="106" t="s">
        <v>169</v>
      </c>
      <c r="H29" s="119" t="s">
        <v>329</v>
      </c>
      <c r="I29" s="104">
        <v>39249.1</v>
      </c>
      <c r="J29" s="195"/>
      <c r="K29" s="120">
        <v>39249.1</v>
      </c>
      <c r="L29" s="120">
        <f>39249.1</f>
        <v>39249.1</v>
      </c>
      <c r="M29" s="98">
        <f t="shared" si="1"/>
        <v>0</v>
      </c>
      <c r="N29" s="109"/>
      <c r="O29" s="98">
        <f t="shared" si="2"/>
        <v>39249.1</v>
      </c>
      <c r="P29" s="109"/>
    </row>
    <row r="30" spans="1:17" s="99" customFormat="1" ht="31.5" x14ac:dyDescent="0.25">
      <c r="A30" s="118" t="s">
        <v>19</v>
      </c>
      <c r="B30" s="118" t="s">
        <v>204</v>
      </c>
      <c r="C30" s="100" t="s">
        <v>125</v>
      </c>
      <c r="D30" s="118" t="s">
        <v>167</v>
      </c>
      <c r="E30" s="118" t="s">
        <v>297</v>
      </c>
      <c r="F30" s="131" t="s">
        <v>205</v>
      </c>
      <c r="G30" s="106" t="s">
        <v>169</v>
      </c>
      <c r="H30" s="119" t="s">
        <v>341</v>
      </c>
      <c r="I30" s="104">
        <v>39249.1</v>
      </c>
      <c r="J30" s="195"/>
      <c r="K30" s="120">
        <v>39249.1</v>
      </c>
      <c r="L30" s="120">
        <f>39249.1</f>
        <v>39249.1</v>
      </c>
      <c r="M30" s="98">
        <f t="shared" si="1"/>
        <v>0</v>
      </c>
      <c r="N30" s="109"/>
      <c r="O30" s="98">
        <f t="shared" si="2"/>
        <v>39249.1</v>
      </c>
      <c r="P30" s="109"/>
    </row>
    <row r="31" spans="1:17" s="99" customFormat="1" ht="45" x14ac:dyDescent="0.25">
      <c r="A31" s="118" t="s">
        <v>19</v>
      </c>
      <c r="B31" s="118" t="s">
        <v>166</v>
      </c>
      <c r="C31" s="100" t="s">
        <v>125</v>
      </c>
      <c r="D31" s="118" t="s">
        <v>167</v>
      </c>
      <c r="E31" s="118" t="s">
        <v>279</v>
      </c>
      <c r="F31" s="135" t="s">
        <v>168</v>
      </c>
      <c r="G31" s="106" t="s">
        <v>169</v>
      </c>
      <c r="H31" s="119" t="s">
        <v>329</v>
      </c>
      <c r="I31" s="104">
        <v>51023.55</v>
      </c>
      <c r="J31" s="195"/>
      <c r="K31" s="120">
        <v>51023.55</v>
      </c>
      <c r="L31" s="120">
        <v>51023.55</v>
      </c>
      <c r="M31" s="98">
        <f t="shared" si="1"/>
        <v>0</v>
      </c>
      <c r="N31" s="109"/>
      <c r="O31" s="98">
        <f t="shared" si="2"/>
        <v>51023.55</v>
      </c>
      <c r="P31" s="109"/>
    </row>
    <row r="32" spans="1:17" s="99" customFormat="1" ht="31.5" x14ac:dyDescent="0.25">
      <c r="A32" s="118" t="s">
        <v>19</v>
      </c>
      <c r="B32" s="118" t="s">
        <v>200</v>
      </c>
      <c r="C32" s="100" t="s">
        <v>125</v>
      </c>
      <c r="D32" s="118" t="s">
        <v>167</v>
      </c>
      <c r="E32" s="118" t="s">
        <v>295</v>
      </c>
      <c r="F32" s="131" t="s">
        <v>201</v>
      </c>
      <c r="G32" s="106" t="s">
        <v>169</v>
      </c>
      <c r="H32" s="119" t="s">
        <v>334</v>
      </c>
      <c r="I32" s="104">
        <v>66753.240000000005</v>
      </c>
      <c r="J32" s="195"/>
      <c r="K32" s="120">
        <v>66753.240000000005</v>
      </c>
      <c r="L32" s="120">
        <f>66753.24</f>
        <v>66753.240000000005</v>
      </c>
      <c r="M32" s="98">
        <f t="shared" si="1"/>
        <v>0</v>
      </c>
      <c r="N32" s="109"/>
      <c r="O32" s="98">
        <f t="shared" si="2"/>
        <v>66753.240000000005</v>
      </c>
      <c r="P32" s="109"/>
    </row>
    <row r="33" spans="1:16" s="99" customFormat="1" ht="31.5" x14ac:dyDescent="0.25">
      <c r="A33" s="101" t="s">
        <v>19</v>
      </c>
      <c r="B33" s="118" t="s">
        <v>215</v>
      </c>
      <c r="C33" s="100" t="s">
        <v>125</v>
      </c>
      <c r="D33" s="118" t="s">
        <v>167</v>
      </c>
      <c r="E33" s="118" t="s">
        <v>303</v>
      </c>
      <c r="F33" s="131" t="s">
        <v>216</v>
      </c>
      <c r="G33" s="106" t="s">
        <v>169</v>
      </c>
      <c r="H33" s="119" t="s">
        <v>334</v>
      </c>
      <c r="I33" s="104">
        <v>78497.97</v>
      </c>
      <c r="J33" s="195"/>
      <c r="K33" s="120">
        <v>78497.97</v>
      </c>
      <c r="L33" s="120">
        <f>78497.97</f>
        <v>78497.97</v>
      </c>
      <c r="M33" s="98">
        <f t="shared" si="1"/>
        <v>0</v>
      </c>
      <c r="N33" s="109"/>
      <c r="O33" s="98">
        <f t="shared" si="2"/>
        <v>78497.97</v>
      </c>
      <c r="P33" s="109"/>
    </row>
    <row r="34" spans="1:16" s="99" customFormat="1" x14ac:dyDescent="0.25">
      <c r="A34" s="101" t="s">
        <v>19</v>
      </c>
      <c r="B34" s="101" t="s">
        <v>237</v>
      </c>
      <c r="C34" s="100" t="s">
        <v>125</v>
      </c>
      <c r="D34" s="101" t="s">
        <v>220</v>
      </c>
      <c r="E34" s="102" t="s">
        <v>314</v>
      </c>
      <c r="F34" s="103" t="s">
        <v>168</v>
      </c>
      <c r="G34" s="106" t="s">
        <v>169</v>
      </c>
      <c r="H34" s="103" t="s">
        <v>221</v>
      </c>
      <c r="I34" s="104">
        <v>50000</v>
      </c>
      <c r="J34" s="195"/>
      <c r="K34" s="120">
        <v>50000</v>
      </c>
      <c r="L34" s="120">
        <f>50000</f>
        <v>50000</v>
      </c>
      <c r="M34" s="98">
        <f t="shared" si="1"/>
        <v>0</v>
      </c>
      <c r="N34" s="109"/>
      <c r="O34" s="98">
        <f t="shared" si="2"/>
        <v>50000</v>
      </c>
      <c r="P34" s="109"/>
    </row>
    <row r="35" spans="1:16" s="99" customFormat="1" x14ac:dyDescent="0.25">
      <c r="A35" s="101" t="s">
        <v>19</v>
      </c>
      <c r="B35" s="101" t="s">
        <v>238</v>
      </c>
      <c r="C35" s="100" t="s">
        <v>125</v>
      </c>
      <c r="D35" s="101" t="s">
        <v>220</v>
      </c>
      <c r="E35" s="102" t="s">
        <v>315</v>
      </c>
      <c r="F35" s="103" t="s">
        <v>174</v>
      </c>
      <c r="G35" s="106" t="s">
        <v>169</v>
      </c>
      <c r="H35" s="103" t="s">
        <v>221</v>
      </c>
      <c r="I35" s="104">
        <v>50000</v>
      </c>
      <c r="J35" s="195"/>
      <c r="K35" s="120">
        <v>50000</v>
      </c>
      <c r="L35" s="120">
        <f>50000</f>
        <v>50000</v>
      </c>
      <c r="M35" s="98">
        <f t="shared" si="1"/>
        <v>0</v>
      </c>
      <c r="N35" s="109"/>
      <c r="O35" s="98">
        <f t="shared" si="2"/>
        <v>50000</v>
      </c>
      <c r="P35" s="109"/>
    </row>
    <row r="36" spans="1:16" s="99" customFormat="1" ht="31.5" x14ac:dyDescent="0.25">
      <c r="A36" s="101" t="s">
        <v>19</v>
      </c>
      <c r="B36" s="101" t="s">
        <v>219</v>
      </c>
      <c r="C36" s="100" t="s">
        <v>125</v>
      </c>
      <c r="D36" s="101" t="s">
        <v>220</v>
      </c>
      <c r="E36" s="102" t="s">
        <v>305</v>
      </c>
      <c r="F36" s="103" t="s">
        <v>218</v>
      </c>
      <c r="G36" s="106" t="s">
        <v>169</v>
      </c>
      <c r="H36" s="103" t="s">
        <v>221</v>
      </c>
      <c r="I36" s="104">
        <v>100000</v>
      </c>
      <c r="J36" s="195"/>
      <c r="K36" s="120">
        <v>100000</v>
      </c>
      <c r="L36" s="120">
        <f>100000</f>
        <v>100000</v>
      </c>
      <c r="M36" s="98">
        <f t="shared" si="1"/>
        <v>0</v>
      </c>
      <c r="N36" s="109"/>
      <c r="O36" s="98">
        <f t="shared" si="2"/>
        <v>100000</v>
      </c>
      <c r="P36" s="109"/>
    </row>
    <row r="37" spans="1:16" s="99" customFormat="1" ht="31.5" x14ac:dyDescent="0.25">
      <c r="A37" s="101" t="s">
        <v>19</v>
      </c>
      <c r="B37" s="101" t="s">
        <v>222</v>
      </c>
      <c r="C37" s="100" t="s">
        <v>125</v>
      </c>
      <c r="D37" s="101" t="s">
        <v>220</v>
      </c>
      <c r="E37" s="102" t="s">
        <v>306</v>
      </c>
      <c r="F37" s="103" t="s">
        <v>223</v>
      </c>
      <c r="G37" s="106" t="s">
        <v>169</v>
      </c>
      <c r="H37" s="103" t="s">
        <v>224</v>
      </c>
      <c r="I37" s="104">
        <v>50000</v>
      </c>
      <c r="J37" s="195"/>
      <c r="K37" s="120">
        <v>50000</v>
      </c>
      <c r="L37" s="120">
        <f>50000</f>
        <v>50000</v>
      </c>
      <c r="M37" s="98">
        <f t="shared" si="1"/>
        <v>0</v>
      </c>
      <c r="N37" s="109"/>
      <c r="O37" s="98">
        <f t="shared" si="2"/>
        <v>50000</v>
      </c>
      <c r="P37" s="109"/>
    </row>
    <row r="38" spans="1:16" s="99" customFormat="1" ht="31.5" x14ac:dyDescent="0.25">
      <c r="A38" s="101" t="s">
        <v>19</v>
      </c>
      <c r="B38" s="101" t="s">
        <v>225</v>
      </c>
      <c r="C38" s="100" t="s">
        <v>125</v>
      </c>
      <c r="D38" s="101" t="s">
        <v>220</v>
      </c>
      <c r="E38" s="102" t="s">
        <v>307</v>
      </c>
      <c r="F38" s="103" t="s">
        <v>140</v>
      </c>
      <c r="G38" s="106" t="s">
        <v>169</v>
      </c>
      <c r="H38" s="103" t="s">
        <v>226</v>
      </c>
      <c r="I38" s="104">
        <v>50000</v>
      </c>
      <c r="J38" s="195"/>
      <c r="K38" s="120">
        <v>50000</v>
      </c>
      <c r="L38" s="120">
        <f>50000</f>
        <v>50000</v>
      </c>
      <c r="M38" s="98">
        <f t="shared" si="1"/>
        <v>0</v>
      </c>
      <c r="N38" s="109"/>
      <c r="O38" s="98">
        <f t="shared" si="2"/>
        <v>50000</v>
      </c>
      <c r="P38" s="109"/>
    </row>
    <row r="39" spans="1:16" s="99" customFormat="1" ht="31.5" x14ac:dyDescent="0.25">
      <c r="A39" s="101" t="s">
        <v>19</v>
      </c>
      <c r="B39" s="101" t="s">
        <v>227</v>
      </c>
      <c r="C39" s="100" t="s">
        <v>125</v>
      </c>
      <c r="D39" s="101" t="s">
        <v>220</v>
      </c>
      <c r="E39" s="102" t="s">
        <v>308</v>
      </c>
      <c r="F39" s="103" t="s">
        <v>185</v>
      </c>
      <c r="G39" s="106" t="s">
        <v>169</v>
      </c>
      <c r="H39" s="103" t="s">
        <v>221</v>
      </c>
      <c r="I39" s="104">
        <v>100000</v>
      </c>
      <c r="J39" s="195"/>
      <c r="K39" s="120">
        <v>100000</v>
      </c>
      <c r="L39" s="120">
        <f>100000</f>
        <v>100000</v>
      </c>
      <c r="M39" s="98">
        <f t="shared" si="1"/>
        <v>0</v>
      </c>
      <c r="N39" s="109"/>
      <c r="O39" s="98">
        <f t="shared" si="2"/>
        <v>100000</v>
      </c>
      <c r="P39" s="109"/>
    </row>
    <row r="40" spans="1:16" s="99" customFormat="1" ht="45" x14ac:dyDescent="0.25">
      <c r="A40" s="101" t="s">
        <v>19</v>
      </c>
      <c r="B40" s="101" t="s">
        <v>228</v>
      </c>
      <c r="C40" s="100" t="s">
        <v>125</v>
      </c>
      <c r="D40" s="101" t="s">
        <v>220</v>
      </c>
      <c r="E40" s="102" t="s">
        <v>309</v>
      </c>
      <c r="F40" s="103" t="s">
        <v>229</v>
      </c>
      <c r="G40" s="106" t="s">
        <v>169</v>
      </c>
      <c r="H40" s="103" t="s">
        <v>230</v>
      </c>
      <c r="I40" s="104">
        <v>100000</v>
      </c>
      <c r="J40" s="195"/>
      <c r="K40" s="120">
        <v>100000</v>
      </c>
      <c r="L40" s="120">
        <f>100000</f>
        <v>100000</v>
      </c>
      <c r="M40" s="98">
        <f t="shared" si="1"/>
        <v>0</v>
      </c>
      <c r="N40" s="109"/>
      <c r="O40" s="98">
        <f t="shared" si="2"/>
        <v>100000</v>
      </c>
      <c r="P40" s="109"/>
    </row>
    <row r="41" spans="1:16" s="99" customFormat="1" ht="31.5" x14ac:dyDescent="0.25">
      <c r="A41" s="101" t="s">
        <v>19</v>
      </c>
      <c r="B41" s="101" t="s">
        <v>231</v>
      </c>
      <c r="C41" s="100" t="s">
        <v>125</v>
      </c>
      <c r="D41" s="101" t="s">
        <v>220</v>
      </c>
      <c r="E41" s="102" t="s">
        <v>310</v>
      </c>
      <c r="F41" s="103" t="s">
        <v>132</v>
      </c>
      <c r="G41" s="106" t="s">
        <v>169</v>
      </c>
      <c r="H41" s="103" t="s">
        <v>221</v>
      </c>
      <c r="I41" s="104">
        <v>50000</v>
      </c>
      <c r="J41" s="195"/>
      <c r="K41" s="120">
        <v>50000</v>
      </c>
      <c r="L41" s="120">
        <f>50000</f>
        <v>50000</v>
      </c>
      <c r="M41" s="98">
        <f t="shared" si="1"/>
        <v>0</v>
      </c>
      <c r="N41" s="109"/>
      <c r="O41" s="98">
        <f t="shared" si="2"/>
        <v>50000</v>
      </c>
      <c r="P41" s="109"/>
    </row>
    <row r="42" spans="1:16" s="99" customFormat="1" ht="31.5" x14ac:dyDescent="0.25">
      <c r="A42" s="101" t="s">
        <v>19</v>
      </c>
      <c r="B42" s="101" t="s">
        <v>232</v>
      </c>
      <c r="C42" s="100" t="s">
        <v>125</v>
      </c>
      <c r="D42" s="101" t="s">
        <v>220</v>
      </c>
      <c r="E42" s="102" t="s">
        <v>311</v>
      </c>
      <c r="F42" s="103" t="s">
        <v>187</v>
      </c>
      <c r="G42" s="106" t="s">
        <v>169</v>
      </c>
      <c r="H42" s="103" t="s">
        <v>233</v>
      </c>
      <c r="I42" s="104">
        <v>50000</v>
      </c>
      <c r="J42" s="195"/>
      <c r="K42" s="120">
        <v>50000</v>
      </c>
      <c r="L42" s="120">
        <f>50000</f>
        <v>50000</v>
      </c>
      <c r="M42" s="98">
        <f t="shared" si="1"/>
        <v>0</v>
      </c>
      <c r="N42" s="109"/>
      <c r="O42" s="98">
        <f t="shared" si="2"/>
        <v>50000</v>
      </c>
      <c r="P42" s="109"/>
    </row>
    <row r="43" spans="1:16" s="99" customFormat="1" ht="31.5" x14ac:dyDescent="0.25">
      <c r="A43" s="101" t="s">
        <v>19</v>
      </c>
      <c r="B43" s="101" t="s">
        <v>234</v>
      </c>
      <c r="C43" s="100" t="s">
        <v>125</v>
      </c>
      <c r="D43" s="101" t="s">
        <v>220</v>
      </c>
      <c r="E43" s="102" t="s">
        <v>312</v>
      </c>
      <c r="F43" s="103" t="s">
        <v>235</v>
      </c>
      <c r="G43" s="106" t="s">
        <v>169</v>
      </c>
      <c r="H43" s="103" t="s">
        <v>221</v>
      </c>
      <c r="I43" s="104">
        <v>50000</v>
      </c>
      <c r="J43" s="195"/>
      <c r="K43" s="120">
        <v>50000</v>
      </c>
      <c r="L43" s="120">
        <f>50000</f>
        <v>50000</v>
      </c>
      <c r="M43" s="98">
        <f t="shared" si="1"/>
        <v>0</v>
      </c>
      <c r="N43" s="109"/>
      <c r="O43" s="98">
        <f t="shared" si="2"/>
        <v>50000</v>
      </c>
      <c r="P43" s="109"/>
    </row>
    <row r="44" spans="1:16" s="99" customFormat="1" ht="32.25" thickBot="1" x14ac:dyDescent="0.3">
      <c r="A44" s="101" t="s">
        <v>19</v>
      </c>
      <c r="B44" s="101" t="s">
        <v>236</v>
      </c>
      <c r="C44" s="100" t="s">
        <v>125</v>
      </c>
      <c r="D44" s="101" t="s">
        <v>220</v>
      </c>
      <c r="E44" s="102" t="s">
        <v>313</v>
      </c>
      <c r="F44" s="103" t="s">
        <v>178</v>
      </c>
      <c r="G44" s="106" t="s">
        <v>169</v>
      </c>
      <c r="H44" s="103" t="s">
        <v>221</v>
      </c>
      <c r="I44" s="104">
        <v>50000</v>
      </c>
      <c r="J44" s="197"/>
      <c r="K44" s="120">
        <v>50000</v>
      </c>
      <c r="L44" s="120">
        <f>50000</f>
        <v>50000</v>
      </c>
      <c r="M44" s="98">
        <f t="shared" si="1"/>
        <v>0</v>
      </c>
      <c r="N44" s="109"/>
      <c r="O44" s="98">
        <f t="shared" si="2"/>
        <v>50000</v>
      </c>
      <c r="P44" s="109"/>
    </row>
    <row r="45" spans="1:16" s="99" customFormat="1" ht="24.95" customHeight="1" thickBot="1" x14ac:dyDescent="0.3">
      <c r="A45" s="148" t="s">
        <v>19</v>
      </c>
      <c r="B45" s="191" t="s">
        <v>350</v>
      </c>
      <c r="C45" s="192"/>
      <c r="D45" s="192"/>
      <c r="E45" s="192"/>
      <c r="F45" s="192"/>
      <c r="G45" s="192"/>
      <c r="H45" s="193"/>
      <c r="I45" s="110">
        <f>SUM(I7:I44)</f>
        <v>1710880.87</v>
      </c>
      <c r="J45" s="110"/>
      <c r="K45" s="110">
        <f t="shared" ref="K45:P45" si="3">SUM(K7:K44)</f>
        <v>1710880.87</v>
      </c>
      <c r="L45" s="110">
        <f t="shared" si="3"/>
        <v>1710850.87</v>
      </c>
      <c r="M45" s="110">
        <f t="shared" si="3"/>
        <v>30</v>
      </c>
      <c r="N45" s="110">
        <f t="shared" si="3"/>
        <v>72800</v>
      </c>
      <c r="O45" s="110">
        <f t="shared" si="3"/>
        <v>1638050.87</v>
      </c>
      <c r="P45" s="110">
        <f t="shared" si="3"/>
        <v>3181.36</v>
      </c>
    </row>
    <row r="46" spans="1:16" s="99" customFormat="1" ht="31.5" x14ac:dyDescent="0.25">
      <c r="A46" s="100" t="s">
        <v>25</v>
      </c>
      <c r="B46" s="100" t="s">
        <v>152</v>
      </c>
      <c r="C46" s="101" t="s">
        <v>153</v>
      </c>
      <c r="D46" s="100" t="s">
        <v>126</v>
      </c>
      <c r="E46" s="106" t="s">
        <v>275</v>
      </c>
      <c r="F46" s="107" t="s">
        <v>154</v>
      </c>
      <c r="G46" s="106" t="s">
        <v>146</v>
      </c>
      <c r="H46" s="107" t="s">
        <v>355</v>
      </c>
      <c r="I46" s="108">
        <v>30000</v>
      </c>
      <c r="J46" s="111" t="s">
        <v>356</v>
      </c>
      <c r="K46" s="109"/>
      <c r="L46" s="109"/>
      <c r="M46" s="98">
        <f t="shared" ref="M46:M52" si="4">K46-L46</f>
        <v>0</v>
      </c>
      <c r="N46" s="109"/>
      <c r="O46" s="98">
        <f t="shared" ref="O46:O52" si="5">L46-N46</f>
        <v>0</v>
      </c>
      <c r="P46" s="109"/>
    </row>
    <row r="47" spans="1:16" s="99" customFormat="1" ht="60" x14ac:dyDescent="0.25">
      <c r="A47" s="101" t="s">
        <v>25</v>
      </c>
      <c r="B47" s="100" t="s">
        <v>149</v>
      </c>
      <c r="C47" s="101" t="s">
        <v>136</v>
      </c>
      <c r="D47" s="100" t="s">
        <v>126</v>
      </c>
      <c r="E47" s="102" t="s">
        <v>274</v>
      </c>
      <c r="F47" s="103" t="s">
        <v>150</v>
      </c>
      <c r="G47" s="102" t="s">
        <v>146</v>
      </c>
      <c r="H47" s="103" t="s">
        <v>151</v>
      </c>
      <c r="I47" s="108">
        <v>140000</v>
      </c>
      <c r="J47" s="105" t="s">
        <v>130</v>
      </c>
      <c r="K47" s="109">
        <v>140000</v>
      </c>
      <c r="L47" s="109">
        <f>139999.74</f>
        <v>139999.74</v>
      </c>
      <c r="M47" s="98">
        <f t="shared" si="4"/>
        <v>0.26000000000931323</v>
      </c>
      <c r="N47" s="109">
        <f>139999.74</f>
        <v>139999.74</v>
      </c>
      <c r="O47" s="98">
        <f t="shared" si="5"/>
        <v>0</v>
      </c>
      <c r="P47" s="109"/>
    </row>
    <row r="48" spans="1:16" s="99" customFormat="1" ht="31.5" x14ac:dyDescent="0.25">
      <c r="A48" s="100" t="s">
        <v>25</v>
      </c>
      <c r="B48" s="101" t="s">
        <v>131</v>
      </c>
      <c r="C48" s="101" t="s">
        <v>125</v>
      </c>
      <c r="D48" s="101" t="s">
        <v>126</v>
      </c>
      <c r="E48" s="102" t="s">
        <v>269</v>
      </c>
      <c r="F48" s="103" t="s">
        <v>132</v>
      </c>
      <c r="G48" s="102" t="s">
        <v>128</v>
      </c>
      <c r="H48" s="103" t="s">
        <v>133</v>
      </c>
      <c r="I48" s="104">
        <v>80000</v>
      </c>
      <c r="J48" s="105" t="s">
        <v>130</v>
      </c>
      <c r="K48" s="98">
        <v>80000</v>
      </c>
      <c r="L48" s="98">
        <v>78045</v>
      </c>
      <c r="M48" s="98">
        <f t="shared" si="4"/>
        <v>1955</v>
      </c>
      <c r="N48" s="98">
        <f>78045</f>
        <v>78045</v>
      </c>
      <c r="O48" s="98">
        <f t="shared" si="5"/>
        <v>0</v>
      </c>
      <c r="P48" s="98"/>
    </row>
    <row r="49" spans="1:16" s="99" customFormat="1" ht="31.5" x14ac:dyDescent="0.25">
      <c r="A49" s="100" t="s">
        <v>25</v>
      </c>
      <c r="B49" s="100" t="s">
        <v>155</v>
      </c>
      <c r="C49" s="101" t="s">
        <v>125</v>
      </c>
      <c r="D49" s="100" t="s">
        <v>126</v>
      </c>
      <c r="E49" s="102" t="s">
        <v>274</v>
      </c>
      <c r="F49" s="107" t="s">
        <v>150</v>
      </c>
      <c r="G49" s="106" t="s">
        <v>146</v>
      </c>
      <c r="H49" s="103" t="s">
        <v>156</v>
      </c>
      <c r="I49" s="108">
        <v>60000</v>
      </c>
      <c r="J49" s="105" t="s">
        <v>143</v>
      </c>
      <c r="K49" s="109">
        <v>60000</v>
      </c>
      <c r="L49" s="109">
        <f>59434.3</f>
        <v>59434.3</v>
      </c>
      <c r="M49" s="98">
        <f t="shared" si="4"/>
        <v>565.69999999999709</v>
      </c>
      <c r="N49" s="109">
        <f>59434.3</f>
        <v>59434.3</v>
      </c>
      <c r="O49" s="98">
        <f t="shared" si="5"/>
        <v>0</v>
      </c>
      <c r="P49" s="109"/>
    </row>
    <row r="50" spans="1:16" s="99" customFormat="1" ht="31.5" x14ac:dyDescent="0.25">
      <c r="A50" s="100" t="s">
        <v>25</v>
      </c>
      <c r="B50" s="100" t="s">
        <v>139</v>
      </c>
      <c r="C50" s="100" t="s">
        <v>125</v>
      </c>
      <c r="D50" s="100" t="s">
        <v>126</v>
      </c>
      <c r="E50" s="106" t="s">
        <v>272</v>
      </c>
      <c r="F50" s="107" t="s">
        <v>140</v>
      </c>
      <c r="G50" s="106" t="s">
        <v>141</v>
      </c>
      <c r="H50" s="107" t="s">
        <v>142</v>
      </c>
      <c r="I50" s="108">
        <v>60000</v>
      </c>
      <c r="J50" s="105" t="s">
        <v>143</v>
      </c>
      <c r="K50" s="109">
        <v>60000</v>
      </c>
      <c r="L50" s="109">
        <f>54800</f>
        <v>54800</v>
      </c>
      <c r="M50" s="98">
        <f t="shared" si="4"/>
        <v>5200</v>
      </c>
      <c r="N50" s="109">
        <f>54800</f>
        <v>54800</v>
      </c>
      <c r="O50" s="98">
        <f t="shared" si="5"/>
        <v>0</v>
      </c>
      <c r="P50" s="109"/>
    </row>
    <row r="51" spans="1:16" s="99" customFormat="1" ht="31.5" x14ac:dyDescent="0.25">
      <c r="A51" s="100" t="s">
        <v>25</v>
      </c>
      <c r="B51" s="101" t="s">
        <v>134</v>
      </c>
      <c r="C51" s="100" t="s">
        <v>125</v>
      </c>
      <c r="D51" s="100" t="s">
        <v>126</v>
      </c>
      <c r="E51" s="106" t="s">
        <v>270</v>
      </c>
      <c r="F51" s="107" t="s">
        <v>132</v>
      </c>
      <c r="G51" s="106" t="s">
        <v>128</v>
      </c>
      <c r="H51" s="107" t="s">
        <v>133</v>
      </c>
      <c r="I51" s="108">
        <v>80000</v>
      </c>
      <c r="J51" s="105" t="s">
        <v>130</v>
      </c>
      <c r="K51" s="109">
        <v>80000</v>
      </c>
      <c r="L51" s="109">
        <v>78045</v>
      </c>
      <c r="M51" s="98">
        <f t="shared" si="4"/>
        <v>1955</v>
      </c>
      <c r="N51" s="109">
        <f>78045</f>
        <v>78045</v>
      </c>
      <c r="O51" s="98">
        <f t="shared" si="5"/>
        <v>0</v>
      </c>
      <c r="P51" s="109"/>
    </row>
    <row r="52" spans="1:16" s="99" customFormat="1" ht="32.25" thickBot="1" x14ac:dyDescent="0.3">
      <c r="A52" s="100" t="s">
        <v>25</v>
      </c>
      <c r="B52" s="100" t="s">
        <v>124</v>
      </c>
      <c r="C52" s="100" t="s">
        <v>125</v>
      </c>
      <c r="D52" s="100" t="s">
        <v>126</v>
      </c>
      <c r="E52" s="106" t="s">
        <v>268</v>
      </c>
      <c r="F52" s="107" t="s">
        <v>127</v>
      </c>
      <c r="G52" s="106" t="s">
        <v>128</v>
      </c>
      <c r="H52" s="107" t="s">
        <v>129</v>
      </c>
      <c r="I52" s="108">
        <v>60000</v>
      </c>
      <c r="J52" s="105" t="s">
        <v>130</v>
      </c>
      <c r="K52" s="109">
        <v>60000</v>
      </c>
      <c r="L52" s="109">
        <v>56760</v>
      </c>
      <c r="M52" s="98">
        <f t="shared" si="4"/>
        <v>3240</v>
      </c>
      <c r="N52" s="109">
        <f>56760</f>
        <v>56760</v>
      </c>
      <c r="O52" s="98">
        <f t="shared" si="5"/>
        <v>0</v>
      </c>
      <c r="P52" s="109"/>
    </row>
    <row r="53" spans="1:16" s="99" customFormat="1" ht="24.95" customHeight="1" thickBot="1" x14ac:dyDescent="0.3">
      <c r="A53" s="148" t="s">
        <v>25</v>
      </c>
      <c r="B53" s="191" t="s">
        <v>351</v>
      </c>
      <c r="C53" s="192"/>
      <c r="D53" s="192"/>
      <c r="E53" s="192"/>
      <c r="F53" s="192"/>
      <c r="G53" s="192"/>
      <c r="H53" s="193"/>
      <c r="I53" s="110">
        <f>SUM(I46:I52)</f>
        <v>510000</v>
      </c>
      <c r="J53" s="110"/>
      <c r="K53" s="110">
        <f t="shared" ref="K53:P53" si="6">SUM(K46:K52)</f>
        <v>480000</v>
      </c>
      <c r="L53" s="110">
        <f t="shared" si="6"/>
        <v>467084.04</v>
      </c>
      <c r="M53" s="110">
        <f t="shared" si="6"/>
        <v>12915.960000000006</v>
      </c>
      <c r="N53" s="110">
        <f t="shared" si="6"/>
        <v>467084.04</v>
      </c>
      <c r="O53" s="110">
        <f t="shared" si="6"/>
        <v>0</v>
      </c>
      <c r="P53" s="110">
        <f t="shared" si="6"/>
        <v>0</v>
      </c>
    </row>
    <row r="54" spans="1:16" s="99" customFormat="1" ht="31.5" x14ac:dyDescent="0.25">
      <c r="A54" s="100" t="s">
        <v>3</v>
      </c>
      <c r="B54" s="101" t="s">
        <v>162</v>
      </c>
      <c r="C54" s="101" t="s">
        <v>136</v>
      </c>
      <c r="D54" s="100" t="s">
        <v>126</v>
      </c>
      <c r="E54" s="106" t="s">
        <v>278</v>
      </c>
      <c r="F54" s="107" t="s">
        <v>163</v>
      </c>
      <c r="G54" s="106" t="s">
        <v>164</v>
      </c>
      <c r="H54" s="107" t="s">
        <v>165</v>
      </c>
      <c r="I54" s="108">
        <f>488400-288400</f>
        <v>200000</v>
      </c>
      <c r="J54" s="105" t="s">
        <v>148</v>
      </c>
      <c r="K54" s="109">
        <v>200000</v>
      </c>
      <c r="L54" s="109">
        <v>200000</v>
      </c>
      <c r="M54" s="98">
        <f t="shared" ref="M54:M65" si="7">K54-L54</f>
        <v>0</v>
      </c>
      <c r="N54" s="109">
        <f>200000</f>
        <v>200000</v>
      </c>
      <c r="O54" s="98">
        <f t="shared" ref="O54:O65" si="8">L54-N54</f>
        <v>0</v>
      </c>
      <c r="P54" s="109"/>
    </row>
    <row r="55" spans="1:16" s="99" customFormat="1" ht="31.5" x14ac:dyDescent="0.25">
      <c r="A55" s="100" t="s">
        <v>3</v>
      </c>
      <c r="B55" s="101" t="s">
        <v>253</v>
      </c>
      <c r="C55" s="101" t="s">
        <v>254</v>
      </c>
      <c r="D55" s="100" t="s">
        <v>126</v>
      </c>
      <c r="E55" s="106" t="s">
        <v>322</v>
      </c>
      <c r="F55" s="107" t="s">
        <v>255</v>
      </c>
      <c r="G55" s="106" t="s">
        <v>169</v>
      </c>
      <c r="H55" s="107" t="s">
        <v>328</v>
      </c>
      <c r="I55" s="108">
        <v>30000</v>
      </c>
      <c r="J55" s="111" t="s">
        <v>327</v>
      </c>
      <c r="K55" s="109"/>
      <c r="L55" s="109"/>
      <c r="M55" s="98">
        <f t="shared" si="7"/>
        <v>0</v>
      </c>
      <c r="N55" s="109"/>
      <c r="O55" s="98">
        <f t="shared" si="8"/>
        <v>0</v>
      </c>
      <c r="P55" s="109"/>
    </row>
    <row r="56" spans="1:16" s="99" customFormat="1" ht="31.5" x14ac:dyDescent="0.25">
      <c r="A56" s="100" t="s">
        <v>3</v>
      </c>
      <c r="B56" s="101" t="s">
        <v>256</v>
      </c>
      <c r="C56" s="101" t="s">
        <v>254</v>
      </c>
      <c r="D56" s="100" t="s">
        <v>126</v>
      </c>
      <c r="E56" s="106" t="s">
        <v>323</v>
      </c>
      <c r="F56" s="107" t="s">
        <v>257</v>
      </c>
      <c r="G56" s="106" t="s">
        <v>169</v>
      </c>
      <c r="H56" s="107" t="s">
        <v>328</v>
      </c>
      <c r="I56" s="108">
        <v>30000</v>
      </c>
      <c r="J56" s="111" t="s">
        <v>327</v>
      </c>
      <c r="K56" s="109"/>
      <c r="L56" s="109"/>
      <c r="M56" s="98">
        <f t="shared" si="7"/>
        <v>0</v>
      </c>
      <c r="N56" s="109"/>
      <c r="O56" s="98">
        <f t="shared" si="8"/>
        <v>0</v>
      </c>
      <c r="P56" s="109"/>
    </row>
    <row r="57" spans="1:16" s="99" customFormat="1" ht="63" x14ac:dyDescent="0.25">
      <c r="A57" s="100" t="s">
        <v>3</v>
      </c>
      <c r="B57" s="101" t="s">
        <v>251</v>
      </c>
      <c r="C57" s="100" t="s">
        <v>125</v>
      </c>
      <c r="D57" s="100" t="s">
        <v>126</v>
      </c>
      <c r="E57" s="106" t="s">
        <v>321</v>
      </c>
      <c r="F57" s="107" t="s">
        <v>252</v>
      </c>
      <c r="G57" s="106" t="s">
        <v>169</v>
      </c>
      <c r="H57" s="107" t="s">
        <v>240</v>
      </c>
      <c r="I57" s="108">
        <f>50000+10000</f>
        <v>60000</v>
      </c>
      <c r="J57" s="105" t="s">
        <v>241</v>
      </c>
      <c r="K57" s="109">
        <f>50000+10000</f>
        <v>60000</v>
      </c>
      <c r="L57" s="109">
        <f>50000+10000</f>
        <v>60000</v>
      </c>
      <c r="M57" s="98">
        <f t="shared" si="7"/>
        <v>0</v>
      </c>
      <c r="N57" s="109">
        <f>60000</f>
        <v>60000</v>
      </c>
      <c r="O57" s="98">
        <f t="shared" si="8"/>
        <v>0</v>
      </c>
      <c r="P57" s="109"/>
    </row>
    <row r="58" spans="1:16" s="99" customFormat="1" x14ac:dyDescent="0.25">
      <c r="A58" s="100" t="s">
        <v>3</v>
      </c>
      <c r="B58" s="101" t="s">
        <v>244</v>
      </c>
      <c r="C58" s="100" t="s">
        <v>125</v>
      </c>
      <c r="D58" s="100" t="s">
        <v>126</v>
      </c>
      <c r="E58" s="106" t="s">
        <v>318</v>
      </c>
      <c r="F58" s="107" t="s">
        <v>245</v>
      </c>
      <c r="G58" s="106" t="s">
        <v>169</v>
      </c>
      <c r="H58" s="107" t="s">
        <v>243</v>
      </c>
      <c r="I58" s="108">
        <v>60000</v>
      </c>
      <c r="J58" s="105" t="s">
        <v>241</v>
      </c>
      <c r="K58" s="109">
        <v>60000</v>
      </c>
      <c r="L58" s="109">
        <v>60000</v>
      </c>
      <c r="M58" s="98">
        <f t="shared" si="7"/>
        <v>0</v>
      </c>
      <c r="N58" s="109">
        <f>60000</f>
        <v>60000</v>
      </c>
      <c r="O58" s="98">
        <f t="shared" si="8"/>
        <v>0</v>
      </c>
      <c r="P58" s="109"/>
    </row>
    <row r="59" spans="1:16" s="99" customFormat="1" ht="31.5" x14ac:dyDescent="0.25">
      <c r="A59" s="100" t="s">
        <v>3</v>
      </c>
      <c r="B59" s="101" t="s">
        <v>239</v>
      </c>
      <c r="C59" s="100" t="s">
        <v>125</v>
      </c>
      <c r="D59" s="100" t="s">
        <v>126</v>
      </c>
      <c r="E59" s="106" t="s">
        <v>316</v>
      </c>
      <c r="F59" s="107" t="s">
        <v>145</v>
      </c>
      <c r="G59" s="106" t="s">
        <v>169</v>
      </c>
      <c r="H59" s="107" t="s">
        <v>240</v>
      </c>
      <c r="I59" s="108">
        <v>60000</v>
      </c>
      <c r="J59" s="105" t="s">
        <v>241</v>
      </c>
      <c r="K59" s="109">
        <v>60000</v>
      </c>
      <c r="L59" s="109">
        <v>60000</v>
      </c>
      <c r="M59" s="98">
        <f t="shared" si="7"/>
        <v>0</v>
      </c>
      <c r="N59" s="109">
        <f>60000</f>
        <v>60000</v>
      </c>
      <c r="O59" s="98">
        <f t="shared" si="8"/>
        <v>0</v>
      </c>
      <c r="P59" s="109"/>
    </row>
    <row r="60" spans="1:16" s="99" customFormat="1" ht="31.5" x14ac:dyDescent="0.25">
      <c r="A60" s="100" t="s">
        <v>3</v>
      </c>
      <c r="B60" s="101" t="s">
        <v>242</v>
      </c>
      <c r="C60" s="100" t="s">
        <v>125</v>
      </c>
      <c r="D60" s="100" t="s">
        <v>126</v>
      </c>
      <c r="E60" s="106" t="s">
        <v>317</v>
      </c>
      <c r="F60" s="107" t="s">
        <v>140</v>
      </c>
      <c r="G60" s="106" t="s">
        <v>169</v>
      </c>
      <c r="H60" s="107" t="s">
        <v>243</v>
      </c>
      <c r="I60" s="108">
        <v>60000</v>
      </c>
      <c r="J60" s="105" t="s">
        <v>241</v>
      </c>
      <c r="K60" s="109">
        <v>60000</v>
      </c>
      <c r="L60" s="109">
        <v>60000</v>
      </c>
      <c r="M60" s="98">
        <f t="shared" si="7"/>
        <v>0</v>
      </c>
      <c r="N60" s="109">
        <f>60000</f>
        <v>60000</v>
      </c>
      <c r="O60" s="98">
        <f t="shared" si="8"/>
        <v>0</v>
      </c>
      <c r="P60" s="109"/>
    </row>
    <row r="61" spans="1:16" s="99" customFormat="1" ht="31.5" x14ac:dyDescent="0.25">
      <c r="A61" s="100" t="s">
        <v>3</v>
      </c>
      <c r="B61" s="101" t="s">
        <v>246</v>
      </c>
      <c r="C61" s="100" t="s">
        <v>125</v>
      </c>
      <c r="D61" s="100" t="s">
        <v>126</v>
      </c>
      <c r="E61" s="106" t="s">
        <v>319</v>
      </c>
      <c r="F61" s="107" t="s">
        <v>247</v>
      </c>
      <c r="G61" s="106" t="s">
        <v>169</v>
      </c>
      <c r="H61" s="107" t="s">
        <v>248</v>
      </c>
      <c r="I61" s="108">
        <v>60000</v>
      </c>
      <c r="J61" s="105" t="s">
        <v>241</v>
      </c>
      <c r="K61" s="109">
        <v>60000</v>
      </c>
      <c r="L61" s="109">
        <v>60000</v>
      </c>
      <c r="M61" s="98">
        <f t="shared" si="7"/>
        <v>0</v>
      </c>
      <c r="N61" s="109">
        <f>60000</f>
        <v>60000</v>
      </c>
      <c r="O61" s="98">
        <f t="shared" si="8"/>
        <v>0</v>
      </c>
      <c r="P61" s="109"/>
    </row>
    <row r="62" spans="1:16" s="99" customFormat="1" ht="31.5" x14ac:dyDescent="0.25">
      <c r="A62" s="100" t="s">
        <v>3</v>
      </c>
      <c r="B62" s="101" t="s">
        <v>249</v>
      </c>
      <c r="C62" s="100" t="s">
        <v>125</v>
      </c>
      <c r="D62" s="100" t="s">
        <v>126</v>
      </c>
      <c r="E62" s="106" t="s">
        <v>320</v>
      </c>
      <c r="F62" s="107" t="s">
        <v>250</v>
      </c>
      <c r="G62" s="106" t="s">
        <v>169</v>
      </c>
      <c r="H62" s="107" t="s">
        <v>243</v>
      </c>
      <c r="I62" s="108">
        <v>60000</v>
      </c>
      <c r="J62" s="105" t="s">
        <v>241</v>
      </c>
      <c r="K62" s="109">
        <v>60000</v>
      </c>
      <c r="L62" s="109">
        <v>60000</v>
      </c>
      <c r="M62" s="98">
        <f t="shared" si="7"/>
        <v>0</v>
      </c>
      <c r="N62" s="109">
        <f>60000</f>
        <v>60000</v>
      </c>
      <c r="O62" s="98">
        <f t="shared" si="8"/>
        <v>0</v>
      </c>
      <c r="P62" s="109"/>
    </row>
    <row r="63" spans="1:16" s="99" customFormat="1" ht="31.5" x14ac:dyDescent="0.25">
      <c r="A63" s="100" t="s">
        <v>3</v>
      </c>
      <c r="B63" s="101" t="s">
        <v>258</v>
      </c>
      <c r="C63" s="100" t="s">
        <v>125</v>
      </c>
      <c r="D63" s="100" t="s">
        <v>126</v>
      </c>
      <c r="E63" s="106" t="s">
        <v>324</v>
      </c>
      <c r="F63" s="107" t="s">
        <v>259</v>
      </c>
      <c r="G63" s="106" t="s">
        <v>169</v>
      </c>
      <c r="H63" s="107" t="s">
        <v>243</v>
      </c>
      <c r="I63" s="108">
        <v>60000</v>
      </c>
      <c r="J63" s="105" t="s">
        <v>241</v>
      </c>
      <c r="K63" s="109">
        <v>60000</v>
      </c>
      <c r="L63" s="109">
        <v>60000</v>
      </c>
      <c r="M63" s="98">
        <f t="shared" si="7"/>
        <v>0</v>
      </c>
      <c r="N63" s="109">
        <f>60000</f>
        <v>60000</v>
      </c>
      <c r="O63" s="98">
        <f t="shared" si="8"/>
        <v>0</v>
      </c>
      <c r="P63" s="109"/>
    </row>
    <row r="64" spans="1:16" s="99" customFormat="1" ht="31.5" x14ac:dyDescent="0.25">
      <c r="A64" s="100" t="s">
        <v>3</v>
      </c>
      <c r="B64" s="101" t="s">
        <v>260</v>
      </c>
      <c r="C64" s="100" t="s">
        <v>125</v>
      </c>
      <c r="D64" s="100" t="s">
        <v>126</v>
      </c>
      <c r="E64" s="106" t="s">
        <v>325</v>
      </c>
      <c r="F64" s="107" t="s">
        <v>261</v>
      </c>
      <c r="G64" s="106" t="s">
        <v>169</v>
      </c>
      <c r="H64" s="107" t="s">
        <v>248</v>
      </c>
      <c r="I64" s="108">
        <v>60000</v>
      </c>
      <c r="J64" s="105" t="s">
        <v>241</v>
      </c>
      <c r="K64" s="109">
        <v>60000</v>
      </c>
      <c r="L64" s="109">
        <v>60000</v>
      </c>
      <c r="M64" s="98">
        <f t="shared" si="7"/>
        <v>0</v>
      </c>
      <c r="N64" s="109">
        <f>60000</f>
        <v>60000</v>
      </c>
      <c r="O64" s="98">
        <f t="shared" si="8"/>
        <v>0</v>
      </c>
      <c r="P64" s="109"/>
    </row>
    <row r="65" spans="1:31" s="99" customFormat="1" ht="32.25" thickBot="1" x14ac:dyDescent="0.3">
      <c r="A65" s="100" t="s">
        <v>3</v>
      </c>
      <c r="B65" s="101" t="s">
        <v>262</v>
      </c>
      <c r="C65" s="100" t="s">
        <v>125</v>
      </c>
      <c r="D65" s="100" t="s">
        <v>126</v>
      </c>
      <c r="E65" s="106" t="s">
        <v>326</v>
      </c>
      <c r="F65" s="107" t="s">
        <v>201</v>
      </c>
      <c r="G65" s="106" t="s">
        <v>169</v>
      </c>
      <c r="H65" s="107" t="s">
        <v>248</v>
      </c>
      <c r="I65" s="108">
        <v>60000</v>
      </c>
      <c r="J65" s="105" t="s">
        <v>241</v>
      </c>
      <c r="K65" s="109">
        <v>60000</v>
      </c>
      <c r="L65" s="109">
        <v>60000</v>
      </c>
      <c r="M65" s="98">
        <f t="shared" si="7"/>
        <v>0</v>
      </c>
      <c r="N65" s="109">
        <f>60000</f>
        <v>60000</v>
      </c>
      <c r="O65" s="98">
        <f t="shared" si="8"/>
        <v>0</v>
      </c>
      <c r="P65" s="109"/>
    </row>
    <row r="66" spans="1:31" s="99" customFormat="1" ht="24.95" customHeight="1" thickBot="1" x14ac:dyDescent="0.3">
      <c r="A66" s="148" t="s">
        <v>3</v>
      </c>
      <c r="B66" s="191" t="s">
        <v>352</v>
      </c>
      <c r="C66" s="192"/>
      <c r="D66" s="192"/>
      <c r="E66" s="192"/>
      <c r="F66" s="192"/>
      <c r="G66" s="192"/>
      <c r="H66" s="193"/>
      <c r="I66" s="110">
        <f>SUM(I54:I65)</f>
        <v>800000</v>
      </c>
      <c r="J66" s="110"/>
      <c r="K66" s="110">
        <f t="shared" ref="K66:P66" si="9">SUM(K54:K65)</f>
        <v>740000</v>
      </c>
      <c r="L66" s="110">
        <f t="shared" si="9"/>
        <v>740000</v>
      </c>
      <c r="M66" s="110">
        <f t="shared" si="9"/>
        <v>0</v>
      </c>
      <c r="N66" s="110">
        <f t="shared" si="9"/>
        <v>740000</v>
      </c>
      <c r="O66" s="110">
        <f t="shared" si="9"/>
        <v>0</v>
      </c>
      <c r="P66" s="110">
        <f t="shared" si="9"/>
        <v>0</v>
      </c>
    </row>
    <row r="67" spans="1:31" s="99" customFormat="1" ht="54" customHeight="1" x14ac:dyDescent="0.25">
      <c r="A67" s="101" t="s">
        <v>35</v>
      </c>
      <c r="B67" s="100" t="s">
        <v>157</v>
      </c>
      <c r="C67" s="100" t="s">
        <v>136</v>
      </c>
      <c r="D67" s="100" t="s">
        <v>126</v>
      </c>
      <c r="E67" s="106" t="s">
        <v>276</v>
      </c>
      <c r="F67" s="107" t="s">
        <v>154</v>
      </c>
      <c r="G67" s="106" t="s">
        <v>146</v>
      </c>
      <c r="H67" s="107" t="s">
        <v>354</v>
      </c>
      <c r="I67" s="108">
        <v>60000</v>
      </c>
      <c r="J67" s="105" t="s">
        <v>345</v>
      </c>
      <c r="K67" s="109">
        <v>60000</v>
      </c>
      <c r="L67" s="109">
        <f>60000</f>
        <v>60000</v>
      </c>
      <c r="M67" s="98">
        <f>K67-L67</f>
        <v>0</v>
      </c>
      <c r="N67" s="109">
        <f>60000</f>
        <v>60000</v>
      </c>
      <c r="O67" s="98">
        <f>L67-N67</f>
        <v>0</v>
      </c>
      <c r="P67" s="109">
        <f>1206</f>
        <v>1206</v>
      </c>
    </row>
    <row r="68" spans="1:31" s="99" customFormat="1" ht="132" customHeight="1" thickBot="1" x14ac:dyDescent="0.3">
      <c r="A68" s="138" t="s">
        <v>35</v>
      </c>
      <c r="B68" s="138" t="s">
        <v>135</v>
      </c>
      <c r="C68" s="139" t="s">
        <v>136</v>
      </c>
      <c r="D68" s="138" t="s">
        <v>126</v>
      </c>
      <c r="E68" s="140" t="s">
        <v>271</v>
      </c>
      <c r="F68" s="141" t="s">
        <v>137</v>
      </c>
      <c r="G68" s="140" t="s">
        <v>128</v>
      </c>
      <c r="H68" s="141" t="s">
        <v>138</v>
      </c>
      <c r="I68" s="142">
        <v>60000</v>
      </c>
      <c r="J68" s="143" t="s">
        <v>347</v>
      </c>
      <c r="K68" s="144">
        <v>60000</v>
      </c>
      <c r="L68" s="144">
        <v>30000</v>
      </c>
      <c r="M68" s="145">
        <f>K68-L68</f>
        <v>30000</v>
      </c>
      <c r="N68" s="144">
        <f>30000</f>
        <v>30000</v>
      </c>
      <c r="O68" s="145">
        <f>L68-N68</f>
        <v>0</v>
      </c>
      <c r="P68" s="144"/>
    </row>
    <row r="69" spans="1:31" s="99" customFormat="1" ht="24.95" customHeight="1" thickBot="1" x14ac:dyDescent="0.3">
      <c r="A69" s="148" t="s">
        <v>35</v>
      </c>
      <c r="B69" s="191" t="s">
        <v>353</v>
      </c>
      <c r="C69" s="192"/>
      <c r="D69" s="192"/>
      <c r="E69" s="192"/>
      <c r="F69" s="192"/>
      <c r="G69" s="192"/>
      <c r="H69" s="193"/>
      <c r="I69" s="110">
        <f>SUM(I67:I68)</f>
        <v>120000</v>
      </c>
      <c r="J69" s="110"/>
      <c r="K69" s="110">
        <f t="shared" ref="K69:P69" si="10">SUM(K67:K68)</f>
        <v>120000</v>
      </c>
      <c r="L69" s="110">
        <f t="shared" si="10"/>
        <v>90000</v>
      </c>
      <c r="M69" s="110">
        <f t="shared" si="10"/>
        <v>30000</v>
      </c>
      <c r="N69" s="110">
        <f t="shared" si="10"/>
        <v>90000</v>
      </c>
      <c r="O69" s="110">
        <f t="shared" si="10"/>
        <v>0</v>
      </c>
      <c r="P69" s="110">
        <f t="shared" si="10"/>
        <v>1206</v>
      </c>
    </row>
    <row r="70" spans="1:31" s="99" customFormat="1" ht="27.95" customHeight="1" thickBot="1" x14ac:dyDescent="0.3">
      <c r="A70" s="198" t="s">
        <v>62</v>
      </c>
      <c r="B70" s="199"/>
      <c r="C70" s="199"/>
      <c r="D70" s="199"/>
      <c r="E70" s="199"/>
      <c r="F70" s="199"/>
      <c r="G70" s="199"/>
      <c r="H70" s="200"/>
      <c r="I70" s="121">
        <f>I69+I66+I53+I45+I6</f>
        <v>3640880.87</v>
      </c>
      <c r="J70" s="121"/>
      <c r="K70" s="121">
        <f t="shared" ref="K70:P70" si="11">K69+K66+K53+K45+K6</f>
        <v>3550880.87</v>
      </c>
      <c r="L70" s="121">
        <f t="shared" si="11"/>
        <v>3056334.91</v>
      </c>
      <c r="M70" s="121">
        <f t="shared" si="11"/>
        <v>494545.96</v>
      </c>
      <c r="N70" s="121">
        <f t="shared" si="11"/>
        <v>1418284.04</v>
      </c>
      <c r="O70" s="121">
        <f t="shared" si="11"/>
        <v>1638050.87</v>
      </c>
      <c r="P70" s="121">
        <f t="shared" si="11"/>
        <v>4387.3600000000006</v>
      </c>
    </row>
    <row r="71" spans="1:31" s="99" customFormat="1" ht="27.95" customHeight="1" thickBot="1" x14ac:dyDescent="0.3">
      <c r="A71" s="188" t="s">
        <v>263</v>
      </c>
      <c r="B71" s="189"/>
      <c r="C71" s="189"/>
      <c r="D71" s="189"/>
      <c r="E71" s="189"/>
      <c r="F71" s="189"/>
      <c r="G71" s="189"/>
      <c r="H71" s="190"/>
      <c r="I71" s="122">
        <f>I46+I47+I54+I67+I68</f>
        <v>490000</v>
      </c>
      <c r="J71" s="122"/>
      <c r="K71" s="122">
        <f t="shared" ref="K71:P71" si="12">K46+K47+K54+K67+K68</f>
        <v>460000</v>
      </c>
      <c r="L71" s="122">
        <f t="shared" si="12"/>
        <v>429999.74</v>
      </c>
      <c r="M71" s="122">
        <f t="shared" si="12"/>
        <v>30000.260000000009</v>
      </c>
      <c r="N71" s="122">
        <f t="shared" si="12"/>
        <v>429999.74</v>
      </c>
      <c r="O71" s="122">
        <f t="shared" si="12"/>
        <v>0</v>
      </c>
      <c r="P71" s="122">
        <f t="shared" si="12"/>
        <v>1206</v>
      </c>
    </row>
    <row r="72" spans="1:31" s="99" customFormat="1" ht="27.95" customHeight="1" thickBot="1" x14ac:dyDescent="0.3">
      <c r="A72" s="188" t="s">
        <v>264</v>
      </c>
      <c r="B72" s="189"/>
      <c r="C72" s="189"/>
      <c r="D72" s="189"/>
      <c r="E72" s="189"/>
      <c r="F72" s="189"/>
      <c r="G72" s="189"/>
      <c r="H72" s="190"/>
      <c r="I72" s="122">
        <f>I70-I71</f>
        <v>3150880.87</v>
      </c>
      <c r="J72" s="123"/>
      <c r="K72" s="122">
        <f t="shared" ref="K72:P72" si="13">K70-K71</f>
        <v>3090880.87</v>
      </c>
      <c r="L72" s="122">
        <f t="shared" si="13"/>
        <v>2626335.17</v>
      </c>
      <c r="M72" s="122">
        <f t="shared" si="13"/>
        <v>464545.7</v>
      </c>
      <c r="N72" s="122">
        <f t="shared" si="13"/>
        <v>988284.3</v>
      </c>
      <c r="O72" s="122">
        <f t="shared" si="13"/>
        <v>1638050.87</v>
      </c>
      <c r="P72" s="122">
        <f t="shared" si="13"/>
        <v>3181.3600000000006</v>
      </c>
    </row>
    <row r="73" spans="1:31" s="99" customFormat="1" x14ac:dyDescent="0.25">
      <c r="A73" s="124"/>
      <c r="B73" s="124"/>
      <c r="C73" s="124"/>
      <c r="D73" s="124"/>
      <c r="E73" s="124"/>
      <c r="F73" s="125"/>
      <c r="G73" s="124"/>
      <c r="H73" s="126"/>
      <c r="I73" s="127"/>
      <c r="J73" s="133"/>
      <c r="K73" s="125"/>
      <c r="L73" s="125"/>
      <c r="M73" s="125"/>
      <c r="N73" s="128"/>
      <c r="O73" s="128"/>
      <c r="P73" s="125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99" customFormat="1" x14ac:dyDescent="0.25">
      <c r="A74" s="124"/>
      <c r="B74" s="124"/>
      <c r="C74" s="124"/>
      <c r="D74" s="124"/>
      <c r="E74" s="124"/>
      <c r="F74" s="125"/>
      <c r="G74" s="124"/>
      <c r="H74" s="126"/>
      <c r="I74" s="129"/>
      <c r="J74" s="133"/>
      <c r="K74" s="128"/>
      <c r="L74" s="128"/>
      <c r="M74" s="128"/>
      <c r="N74" s="128"/>
      <c r="O74" s="128"/>
      <c r="P74" s="128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99" customFormat="1" x14ac:dyDescent="0.25">
      <c r="A75" s="124"/>
      <c r="B75" s="124"/>
      <c r="C75" s="124"/>
      <c r="D75" s="124"/>
      <c r="E75" s="124"/>
      <c r="F75" s="125"/>
      <c r="G75" s="124"/>
      <c r="H75" s="126"/>
      <c r="I75" s="127"/>
      <c r="J75" s="133"/>
      <c r="K75" s="125"/>
      <c r="L75" s="128"/>
      <c r="M75" s="128"/>
      <c r="N75" s="128"/>
      <c r="O75" s="125"/>
      <c r="P75" s="12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99" customFormat="1" x14ac:dyDescent="0.25">
      <c r="A76" s="124"/>
      <c r="B76" s="124"/>
      <c r="C76" s="124"/>
      <c r="D76" s="124"/>
      <c r="E76" s="124"/>
      <c r="F76" s="125"/>
      <c r="G76" s="124"/>
      <c r="H76" s="126"/>
      <c r="I76" s="129"/>
      <c r="J76" s="133"/>
      <c r="K76" s="128"/>
      <c r="L76" s="128"/>
      <c r="M76" s="128"/>
      <c r="N76" s="128"/>
      <c r="O76" s="128"/>
      <c r="P76" s="128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s="99" customFormat="1" x14ac:dyDescent="0.25">
      <c r="A77" s="124"/>
      <c r="B77" s="124"/>
      <c r="C77" s="124"/>
      <c r="D77" s="124"/>
      <c r="E77" s="124"/>
      <c r="F77" s="125"/>
      <c r="G77" s="124"/>
      <c r="H77" s="126"/>
      <c r="I77" s="127"/>
      <c r="J77" s="133"/>
      <c r="K77" s="125"/>
      <c r="L77" s="125"/>
      <c r="M77" s="125"/>
      <c r="N77" s="125"/>
      <c r="O77" s="125"/>
      <c r="P77" s="125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s="99" customFormat="1" x14ac:dyDescent="0.25">
      <c r="A78" s="124"/>
      <c r="B78" s="124"/>
      <c r="C78" s="124"/>
      <c r="D78" s="124"/>
      <c r="E78" s="124"/>
      <c r="F78" s="125"/>
      <c r="G78" s="124"/>
      <c r="H78" s="126"/>
      <c r="I78" s="127"/>
      <c r="J78" s="133"/>
      <c r="K78" s="125"/>
      <c r="L78" s="125"/>
      <c r="M78" s="125"/>
      <c r="N78" s="125"/>
      <c r="O78" s="125"/>
      <c r="P78" s="125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s="99" customFormat="1" x14ac:dyDescent="0.25">
      <c r="A79" s="124"/>
      <c r="B79" s="124"/>
      <c r="C79" s="124"/>
      <c r="D79" s="124"/>
      <c r="E79" s="124"/>
      <c r="F79" s="125"/>
      <c r="G79" s="124"/>
      <c r="H79" s="126"/>
      <c r="I79" s="127"/>
      <c r="J79" s="133"/>
      <c r="K79" s="125"/>
      <c r="L79" s="125"/>
      <c r="M79" s="125"/>
      <c r="N79" s="125"/>
      <c r="O79" s="125"/>
      <c r="P79" s="125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s="99" customFormat="1" x14ac:dyDescent="0.25">
      <c r="A80" s="124"/>
      <c r="B80" s="124"/>
      <c r="C80" s="124"/>
      <c r="D80" s="124"/>
      <c r="E80" s="124"/>
      <c r="F80" s="125"/>
      <c r="G80" s="124"/>
      <c r="H80" s="126"/>
      <c r="I80" s="127"/>
      <c r="J80" s="133"/>
      <c r="K80" s="125"/>
      <c r="L80" s="125"/>
      <c r="M80" s="125"/>
      <c r="N80" s="125"/>
      <c r="O80" s="125"/>
      <c r="P80" s="125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</sheetData>
  <autoFilter ref="A4:P72"/>
  <sortState ref="A5:AF64">
    <sortCondition ref="A5:A64"/>
    <sortCondition ref="C5:C64"/>
    <sortCondition ref="D5:D64"/>
    <sortCondition ref="B5:B64"/>
  </sortState>
  <mergeCells count="13">
    <mergeCell ref="A71:H71"/>
    <mergeCell ref="A72:H72"/>
    <mergeCell ref="A1:P1"/>
    <mergeCell ref="A2:P2"/>
    <mergeCell ref="A3:P3"/>
    <mergeCell ref="B69:H69"/>
    <mergeCell ref="B6:H6"/>
    <mergeCell ref="B45:H45"/>
    <mergeCell ref="B53:H53"/>
    <mergeCell ref="B66:H66"/>
    <mergeCell ref="J9:J21"/>
    <mergeCell ref="J22:J44"/>
    <mergeCell ref="A70:H70"/>
  </mergeCells>
  <pageMargins left="0.39370078740157483" right="0.62992125984251968" top="0.39370078740157483" bottom="0.39370078740157483" header="0" footer="0"/>
  <pageSetup paperSize="9" scale="45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2020</vt:lpstr>
      <vt:lpstr>Emendas</vt:lpstr>
      <vt:lpstr>'2020'!Titulos_de_impressao</vt:lpstr>
      <vt:lpstr>Emendas!Titulos_de_impressao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Teles</dc:creator>
  <cp:lastModifiedBy>Ednaldo Vasconcelos</cp:lastModifiedBy>
  <cp:lastPrinted>2021-04-14T14:39:55Z</cp:lastPrinted>
  <dcterms:created xsi:type="dcterms:W3CDTF">2021-02-03T19:07:35Z</dcterms:created>
  <dcterms:modified xsi:type="dcterms:W3CDTF">2021-04-14T15:29:17Z</dcterms:modified>
</cp:coreProperties>
</file>