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Structure="1"/>
  <bookViews>
    <workbookView xWindow="15" yWindow="135" windowWidth="15600" windowHeight="7950" tabRatio="723"/>
  </bookViews>
  <sheets>
    <sheet name="Em execução" sheetId="14" r:id="rId1"/>
    <sheet name="Em execução (PF)" sheetId="18" r:id="rId2"/>
    <sheet name="Devolução" sheetId="20" r:id="rId3"/>
    <sheet name="Resumo" sheetId="19" r:id="rId4"/>
    <sheet name="Resumo Contrapartida" sheetId="22" r:id="rId5"/>
    <sheet name="CONTRAPARTIDA" sheetId="21" r:id="rId6"/>
  </sheets>
  <definedNames>
    <definedName name="_xlnm._FilterDatabase" localSheetId="5" hidden="1">CONTRAPARTIDA!$A$5:$O$35</definedName>
    <definedName name="_xlnm._FilterDatabase" localSheetId="2" hidden="1">Devolução!$A$5:$O$6</definedName>
    <definedName name="_xlnm._FilterDatabase" localSheetId="0" hidden="1">'Em execução'!$A$5:$X$80</definedName>
    <definedName name="_xlnm._FilterDatabase" localSheetId="1" hidden="1">'Em execução (PF)'!$A$5:$O$51</definedName>
    <definedName name="_xlnm.Print_Titles" localSheetId="5">CONTRAPARTIDA!$1:$5</definedName>
    <definedName name="_xlnm.Print_Titles" localSheetId="2">Devolução!$1:$5</definedName>
    <definedName name="_xlnm.Print_Titles" localSheetId="0">'Em execução'!$1:$5</definedName>
    <definedName name="_xlnm.Print_Titles" localSheetId="1">'Em execução (PF)'!$1:$5</definedName>
  </definedNames>
  <calcPr calcId="124519"/>
</workbook>
</file>

<file path=xl/calcChain.xml><?xml version="1.0" encoding="utf-8"?>
<calcChain xmlns="http://schemas.openxmlformats.org/spreadsheetml/2006/main">
  <c r="R7" i="14"/>
  <c r="R19"/>
  <c r="R17"/>
  <c r="R72" l="1"/>
  <c r="R71"/>
  <c r="R70"/>
  <c r="R69"/>
  <c r="R68"/>
  <c r="R67"/>
  <c r="R66"/>
  <c r="R65"/>
  <c r="R64"/>
  <c r="R62"/>
  <c r="R61"/>
  <c r="R60"/>
  <c r="R59"/>
  <c r="R58"/>
  <c r="R57"/>
  <c r="R56"/>
  <c r="R55"/>
  <c r="R54"/>
  <c r="R52"/>
  <c r="R50" l="1"/>
  <c r="R49"/>
  <c r="R48"/>
  <c r="AC20" i="18"/>
  <c r="Q20"/>
  <c r="R20"/>
  <c r="K20"/>
  <c r="Q23" i="14"/>
  <c r="R23" s="1"/>
  <c r="AC36" i="18"/>
  <c r="AB36"/>
  <c r="V34" i="14"/>
  <c r="X34" s="1"/>
  <c r="S34"/>
  <c r="U34" s="1"/>
  <c r="P34"/>
  <c r="P35" s="1"/>
  <c r="O34"/>
  <c r="O35" s="1"/>
  <c r="X33"/>
  <c r="U33"/>
  <c r="R33"/>
  <c r="W32"/>
  <c r="X32" s="1"/>
  <c r="T32"/>
  <c r="U32" s="1"/>
  <c r="Q32"/>
  <c r="R32" s="1"/>
  <c r="L31" i="18"/>
  <c r="L30"/>
  <c r="AE31"/>
  <c r="AE30"/>
  <c r="AA31"/>
  <c r="AA30"/>
  <c r="X31"/>
  <c r="X30"/>
  <c r="U31"/>
  <c r="U30"/>
  <c r="R31"/>
  <c r="R30"/>
  <c r="O31"/>
  <c r="O30"/>
  <c r="AC29"/>
  <c r="AE29" s="1"/>
  <c r="Y29"/>
  <c r="V29"/>
  <c r="U29"/>
  <c r="R29"/>
  <c r="N29"/>
  <c r="Z29" s="1"/>
  <c r="AA29" s="1"/>
  <c r="K29"/>
  <c r="W29" s="1"/>
  <c r="N22"/>
  <c r="K22"/>
  <c r="AC6"/>
  <c r="AB6"/>
  <c r="AB25"/>
  <c r="P25"/>
  <c r="AC27"/>
  <c r="AB27"/>
  <c r="Q17"/>
  <c r="P15"/>
  <c r="R15" s="1"/>
  <c r="K15"/>
  <c r="AC8"/>
  <c r="Q8"/>
  <c r="P41"/>
  <c r="AD36"/>
  <c r="AC21"/>
  <c r="AC44"/>
  <c r="AD44"/>
  <c r="AB44"/>
  <c r="AC43"/>
  <c r="AB43"/>
  <c r="AD20"/>
  <c r="AC19"/>
  <c r="AB19"/>
  <c r="AD27"/>
  <c r="AC26"/>
  <c r="AD42"/>
  <c r="AC42"/>
  <c r="AB42"/>
  <c r="AD35"/>
  <c r="AC18"/>
  <c r="AB18"/>
  <c r="AC17"/>
  <c r="AD17"/>
  <c r="AB17"/>
  <c r="AD24"/>
  <c r="AC24"/>
  <c r="AD41"/>
  <c r="AC41"/>
  <c r="AB41"/>
  <c r="AC40"/>
  <c r="AD40"/>
  <c r="AB40"/>
  <c r="AD7"/>
  <c r="AC7"/>
  <c r="AE7" s="1"/>
  <c r="AE11" s="1"/>
  <c r="AB7"/>
  <c r="AD6"/>
  <c r="AC15"/>
  <c r="AD15"/>
  <c r="AE15" s="1"/>
  <c r="AE23" s="1"/>
  <c r="K7"/>
  <c r="L7" s="1"/>
  <c r="J36"/>
  <c r="K21"/>
  <c r="J44"/>
  <c r="J43"/>
  <c r="K19"/>
  <c r="J27"/>
  <c r="J26"/>
  <c r="K8"/>
  <c r="J25"/>
  <c r="J42"/>
  <c r="K35"/>
  <c r="K18"/>
  <c r="K17"/>
  <c r="L17" s="1"/>
  <c r="J24"/>
  <c r="J41"/>
  <c r="K6"/>
  <c r="W6" s="1"/>
  <c r="J40"/>
  <c r="N16"/>
  <c r="K16"/>
  <c r="K13"/>
  <c r="L13" s="1"/>
  <c r="J38"/>
  <c r="K12"/>
  <c r="N6"/>
  <c r="E9" i="19"/>
  <c r="E15"/>
  <c r="E14"/>
  <c r="E12"/>
  <c r="F15"/>
  <c r="F12"/>
  <c r="F9"/>
  <c r="F8"/>
  <c r="F7"/>
  <c r="F6"/>
  <c r="Q7" i="18"/>
  <c r="AG10"/>
  <c r="AG7"/>
  <c r="AG9" s="1"/>
  <c r="F9" i="22"/>
  <c r="F18" s="1"/>
  <c r="E18"/>
  <c r="G13"/>
  <c r="D13"/>
  <c r="G11"/>
  <c r="D11"/>
  <c r="G7"/>
  <c r="D28" i="19"/>
  <c r="D30"/>
  <c r="N6" i="21"/>
  <c r="Q34"/>
  <c r="F32" i="19" s="1"/>
  <c r="R32" i="21"/>
  <c r="R31"/>
  <c r="R30"/>
  <c r="Q28"/>
  <c r="F31" i="19" s="1"/>
  <c r="P28" i="21"/>
  <c r="E14" i="22" s="1"/>
  <c r="R27" i="21"/>
  <c r="R28" s="1"/>
  <c r="Q26"/>
  <c r="F12" i="22" s="1"/>
  <c r="R25" i="21"/>
  <c r="R24"/>
  <c r="Q22"/>
  <c r="F10" i="22" s="1"/>
  <c r="P21" i="21"/>
  <c r="P22" s="1"/>
  <c r="R19"/>
  <c r="R18"/>
  <c r="R17"/>
  <c r="R16"/>
  <c r="R15"/>
  <c r="R14"/>
  <c r="P12"/>
  <c r="P20" s="1"/>
  <c r="P11"/>
  <c r="E23" i="19" s="1"/>
  <c r="R10" i="21"/>
  <c r="R9"/>
  <c r="R8"/>
  <c r="R7"/>
  <c r="Q11"/>
  <c r="F6" i="22" s="1"/>
  <c r="K34" i="21"/>
  <c r="N34"/>
  <c r="C15" i="22" s="1"/>
  <c r="J33" i="21"/>
  <c r="J34" s="1"/>
  <c r="M32"/>
  <c r="O32" s="1"/>
  <c r="L32"/>
  <c r="M31"/>
  <c r="O31" s="1"/>
  <c r="L31"/>
  <c r="M30"/>
  <c r="O30" s="1"/>
  <c r="L30"/>
  <c r="M29"/>
  <c r="O29" s="1"/>
  <c r="L29"/>
  <c r="F29"/>
  <c r="N28"/>
  <c r="C14" i="22" s="1"/>
  <c r="M28" i="21"/>
  <c r="B14" i="22" s="1"/>
  <c r="K28" i="21"/>
  <c r="J28"/>
  <c r="O27"/>
  <c r="O28" s="1"/>
  <c r="L27"/>
  <c r="L28" s="1"/>
  <c r="N26"/>
  <c r="C12" i="22" s="1"/>
  <c r="K26" i="21"/>
  <c r="M25"/>
  <c r="O25" s="1"/>
  <c r="J25"/>
  <c r="J26" s="1"/>
  <c r="M24"/>
  <c r="O24" s="1"/>
  <c r="L24"/>
  <c r="M23"/>
  <c r="O23" s="1"/>
  <c r="N22"/>
  <c r="C10" i="22" s="1"/>
  <c r="K22" i="21"/>
  <c r="J22"/>
  <c r="M22"/>
  <c r="B27" i="19" s="1"/>
  <c r="L21" i="21"/>
  <c r="L22" s="1"/>
  <c r="K20"/>
  <c r="J20"/>
  <c r="O19"/>
  <c r="L19"/>
  <c r="O18"/>
  <c r="L18"/>
  <c r="N17"/>
  <c r="O17" s="1"/>
  <c r="L17"/>
  <c r="N16"/>
  <c r="O16" s="1"/>
  <c r="L16"/>
  <c r="N15"/>
  <c r="O15" s="1"/>
  <c r="L15"/>
  <c r="N14"/>
  <c r="O14" s="1"/>
  <c r="L14"/>
  <c r="N13"/>
  <c r="L13"/>
  <c r="M20"/>
  <c r="B8" i="22" s="1"/>
  <c r="L12" i="21"/>
  <c r="M11"/>
  <c r="B6" i="22" s="1"/>
  <c r="K11" i="21"/>
  <c r="J11"/>
  <c r="O10"/>
  <c r="L10"/>
  <c r="O9"/>
  <c r="L9"/>
  <c r="O8"/>
  <c r="L8"/>
  <c r="O7"/>
  <c r="L7"/>
  <c r="F7"/>
  <c r="N11"/>
  <c r="C6" i="22" s="1"/>
  <c r="U6" i="20"/>
  <c r="R6"/>
  <c r="M6"/>
  <c r="O6" s="1"/>
  <c r="K6"/>
  <c r="L6" s="1"/>
  <c r="P27" i="18"/>
  <c r="Q35"/>
  <c r="Q21"/>
  <c r="W21" s="1"/>
  <c r="P24"/>
  <c r="P40"/>
  <c r="G26" i="19"/>
  <c r="G28"/>
  <c r="G30"/>
  <c r="G24"/>
  <c r="F35"/>
  <c r="E35"/>
  <c r="G15"/>
  <c r="I13"/>
  <c r="H13"/>
  <c r="D13"/>
  <c r="G12"/>
  <c r="I11"/>
  <c r="H11"/>
  <c r="G11"/>
  <c r="D11"/>
  <c r="E18"/>
  <c r="G8"/>
  <c r="F18"/>
  <c r="F16"/>
  <c r="F17" s="1"/>
  <c r="J33" i="18"/>
  <c r="K28"/>
  <c r="L15"/>
  <c r="K10"/>
  <c r="L10" s="1"/>
  <c r="K9"/>
  <c r="L9" s="1"/>
  <c r="W8"/>
  <c r="S73" i="14"/>
  <c r="U73" s="1"/>
  <c r="T24"/>
  <c r="U24" s="1"/>
  <c r="L6" i="18"/>
  <c r="O6"/>
  <c r="R6"/>
  <c r="U6"/>
  <c r="V6"/>
  <c r="Y6"/>
  <c r="Z6"/>
  <c r="AE6"/>
  <c r="O7"/>
  <c r="R7"/>
  <c r="U7"/>
  <c r="V7"/>
  <c r="Y7"/>
  <c r="Z7"/>
  <c r="O8"/>
  <c r="R8"/>
  <c r="U8"/>
  <c r="V8"/>
  <c r="X8" s="1"/>
  <c r="Y8"/>
  <c r="Z8"/>
  <c r="AE8"/>
  <c r="O9"/>
  <c r="R9"/>
  <c r="U9"/>
  <c r="V9"/>
  <c r="Y9"/>
  <c r="Z9"/>
  <c r="AE9"/>
  <c r="O10"/>
  <c r="R10"/>
  <c r="U10"/>
  <c r="V10"/>
  <c r="W10"/>
  <c r="X10" s="1"/>
  <c r="Y10"/>
  <c r="Z10"/>
  <c r="AE10"/>
  <c r="J11"/>
  <c r="K11"/>
  <c r="M11"/>
  <c r="N11"/>
  <c r="P11"/>
  <c r="Q11"/>
  <c r="S11"/>
  <c r="T11"/>
  <c r="AB11"/>
  <c r="AD11"/>
  <c r="L12"/>
  <c r="O12"/>
  <c r="R12"/>
  <c r="U12"/>
  <c r="V12"/>
  <c r="W12"/>
  <c r="Y12"/>
  <c r="Z12"/>
  <c r="AE12"/>
  <c r="O13"/>
  <c r="R13"/>
  <c r="R14" s="1"/>
  <c r="U13"/>
  <c r="V13"/>
  <c r="W13"/>
  <c r="W14" s="1"/>
  <c r="Y13"/>
  <c r="AA13" s="1"/>
  <c r="AA14" s="1"/>
  <c r="Z13"/>
  <c r="AE13"/>
  <c r="J14"/>
  <c r="M14"/>
  <c r="N14"/>
  <c r="P14"/>
  <c r="Q14"/>
  <c r="S14"/>
  <c r="T14"/>
  <c r="AB14"/>
  <c r="AC14"/>
  <c r="AD14"/>
  <c r="M15"/>
  <c r="O15" s="1"/>
  <c r="U15"/>
  <c r="W15"/>
  <c r="Z15"/>
  <c r="L16"/>
  <c r="O16"/>
  <c r="R16"/>
  <c r="U16"/>
  <c r="V16"/>
  <c r="W16"/>
  <c r="Y16"/>
  <c r="Z16"/>
  <c r="AE16"/>
  <c r="N17"/>
  <c r="O17" s="1"/>
  <c r="R17"/>
  <c r="U17"/>
  <c r="V17"/>
  <c r="Y17"/>
  <c r="Z17"/>
  <c r="AE17"/>
  <c r="L18"/>
  <c r="N18"/>
  <c r="O18" s="1"/>
  <c r="R18"/>
  <c r="U18"/>
  <c r="V18"/>
  <c r="W18"/>
  <c r="Y18"/>
  <c r="AE18"/>
  <c r="L19"/>
  <c r="N19"/>
  <c r="O19" s="1"/>
  <c r="R19"/>
  <c r="U19"/>
  <c r="V19"/>
  <c r="W19"/>
  <c r="Y19"/>
  <c r="AE19"/>
  <c r="L20"/>
  <c r="N20"/>
  <c r="O20" s="1"/>
  <c r="U20"/>
  <c r="V20"/>
  <c r="W20"/>
  <c r="Y20"/>
  <c r="AE20"/>
  <c r="L21"/>
  <c r="O21"/>
  <c r="R21"/>
  <c r="U21"/>
  <c r="V21"/>
  <c r="Y21"/>
  <c r="Z21"/>
  <c r="AE21"/>
  <c r="L22"/>
  <c r="O22"/>
  <c r="R22"/>
  <c r="U22"/>
  <c r="V22"/>
  <c r="W22"/>
  <c r="Y22"/>
  <c r="Z22"/>
  <c r="AE22"/>
  <c r="K23"/>
  <c r="M23"/>
  <c r="N23"/>
  <c r="P23"/>
  <c r="S23"/>
  <c r="T23"/>
  <c r="AB23"/>
  <c r="AD23"/>
  <c r="L24"/>
  <c r="N24"/>
  <c r="O24" s="1"/>
  <c r="R24"/>
  <c r="U24"/>
  <c r="V24"/>
  <c r="W24"/>
  <c r="Y24"/>
  <c r="AE24"/>
  <c r="L25"/>
  <c r="M25"/>
  <c r="O25" s="1"/>
  <c r="R25"/>
  <c r="U25"/>
  <c r="V25"/>
  <c r="W25"/>
  <c r="Z25"/>
  <c r="AE25"/>
  <c r="L26"/>
  <c r="M26"/>
  <c r="O26"/>
  <c r="R26"/>
  <c r="U26"/>
  <c r="V26"/>
  <c r="W26"/>
  <c r="Y26"/>
  <c r="Z26"/>
  <c r="AE26"/>
  <c r="L27"/>
  <c r="M27"/>
  <c r="O27" s="1"/>
  <c r="R27"/>
  <c r="U27"/>
  <c r="V27"/>
  <c r="W27"/>
  <c r="Z27"/>
  <c r="AE27"/>
  <c r="L28"/>
  <c r="O28"/>
  <c r="R28"/>
  <c r="U28"/>
  <c r="V28"/>
  <c r="W28"/>
  <c r="Y28"/>
  <c r="Z28"/>
  <c r="AE28"/>
  <c r="K32"/>
  <c r="J32"/>
  <c r="N32"/>
  <c r="P32"/>
  <c r="P48" s="1"/>
  <c r="Q32"/>
  <c r="S32"/>
  <c r="S48" s="1"/>
  <c r="T32"/>
  <c r="AB32"/>
  <c r="AB48" s="1"/>
  <c r="AC32"/>
  <c r="AD32"/>
  <c r="L33"/>
  <c r="L34" s="1"/>
  <c r="O33"/>
  <c r="O34" s="1"/>
  <c r="R33"/>
  <c r="R34" s="1"/>
  <c r="U33"/>
  <c r="U34" s="1"/>
  <c r="V33"/>
  <c r="V34" s="1"/>
  <c r="B10" i="19" s="1"/>
  <c r="H10" s="1"/>
  <c r="W33" i="18"/>
  <c r="W34" s="1"/>
  <c r="C10" i="19" s="1"/>
  <c r="Y33" i="18"/>
  <c r="Y34" s="1"/>
  <c r="Z33"/>
  <c r="Z34" s="1"/>
  <c r="AE33"/>
  <c r="AE34" s="1"/>
  <c r="J34"/>
  <c r="K34"/>
  <c r="M34"/>
  <c r="N34"/>
  <c r="P34"/>
  <c r="Q34"/>
  <c r="S34"/>
  <c r="T34"/>
  <c r="AB34"/>
  <c r="AC34"/>
  <c r="L35"/>
  <c r="M35"/>
  <c r="O35" s="1"/>
  <c r="R35"/>
  <c r="U35"/>
  <c r="V35"/>
  <c r="Z35"/>
  <c r="AE35"/>
  <c r="L36"/>
  <c r="M36"/>
  <c r="O36" s="1"/>
  <c r="R36"/>
  <c r="U36"/>
  <c r="V36"/>
  <c r="W36"/>
  <c r="Z36"/>
  <c r="AE36"/>
  <c r="J37"/>
  <c r="K37"/>
  <c r="M37"/>
  <c r="N37"/>
  <c r="P37"/>
  <c r="Q37"/>
  <c r="S37"/>
  <c r="T37"/>
  <c r="AB37"/>
  <c r="AC37"/>
  <c r="AD37"/>
  <c r="L38"/>
  <c r="L39" s="1"/>
  <c r="O38"/>
  <c r="O39" s="1"/>
  <c r="R38"/>
  <c r="R39" s="1"/>
  <c r="U38"/>
  <c r="U39" s="1"/>
  <c r="W38"/>
  <c r="W39" s="1"/>
  <c r="C14" i="19" s="1"/>
  <c r="I14" s="1"/>
  <c r="Y38" i="18"/>
  <c r="Y39" s="1"/>
  <c r="Z38"/>
  <c r="Z39" s="1"/>
  <c r="AE38"/>
  <c r="AE39" s="1"/>
  <c r="J39"/>
  <c r="K39"/>
  <c r="M39"/>
  <c r="N39"/>
  <c r="P39"/>
  <c r="Q39"/>
  <c r="S39"/>
  <c r="T39"/>
  <c r="AB39"/>
  <c r="AC39"/>
  <c r="AD39"/>
  <c r="L40"/>
  <c r="M40"/>
  <c r="O40" s="1"/>
  <c r="R40"/>
  <c r="U40"/>
  <c r="V40"/>
  <c r="W40"/>
  <c r="Z40"/>
  <c r="AE40"/>
  <c r="L41"/>
  <c r="M41"/>
  <c r="O41" s="1"/>
  <c r="R41"/>
  <c r="U41"/>
  <c r="V41"/>
  <c r="W41"/>
  <c r="Z41"/>
  <c r="AE41"/>
  <c r="L42"/>
  <c r="M42"/>
  <c r="O42" s="1"/>
  <c r="R42"/>
  <c r="U42"/>
  <c r="V42"/>
  <c r="W42"/>
  <c r="Z42"/>
  <c r="AE42"/>
  <c r="L43"/>
  <c r="M43"/>
  <c r="O43" s="1"/>
  <c r="R43"/>
  <c r="U43"/>
  <c r="V43"/>
  <c r="W43"/>
  <c r="Z43"/>
  <c r="AE43"/>
  <c r="L44"/>
  <c r="N44"/>
  <c r="O44" s="1"/>
  <c r="R44"/>
  <c r="U44"/>
  <c r="V44"/>
  <c r="W44"/>
  <c r="Y44"/>
  <c r="AE44"/>
  <c r="K45"/>
  <c r="M45"/>
  <c r="P45"/>
  <c r="Q45"/>
  <c r="S45"/>
  <c r="T45"/>
  <c r="AB45"/>
  <c r="AC45"/>
  <c r="AD45"/>
  <c r="F40"/>
  <c r="F7"/>
  <c r="V40" i="14"/>
  <c r="X40" s="1"/>
  <c r="S40"/>
  <c r="S41" s="1"/>
  <c r="Q40"/>
  <c r="V47"/>
  <c r="X47" s="1"/>
  <c r="S47"/>
  <c r="U47" s="1"/>
  <c r="Q47"/>
  <c r="R47" s="1"/>
  <c r="W73"/>
  <c r="X73" s="1"/>
  <c r="Q73"/>
  <c r="V29"/>
  <c r="S29"/>
  <c r="U29" s="1"/>
  <c r="Q29"/>
  <c r="R29" s="1"/>
  <c r="V30"/>
  <c r="X30" s="1"/>
  <c r="S30"/>
  <c r="U30" s="1"/>
  <c r="Q30"/>
  <c r="R30" s="1"/>
  <c r="V46"/>
  <c r="X46" s="1"/>
  <c r="S46"/>
  <c r="U46" s="1"/>
  <c r="Q46"/>
  <c r="R46" s="1"/>
  <c r="V28"/>
  <c r="X28" s="1"/>
  <c r="S28"/>
  <c r="U28" s="1"/>
  <c r="Q28"/>
  <c r="R28" s="1"/>
  <c r="Q24"/>
  <c r="R24" s="1"/>
  <c r="V36"/>
  <c r="X36" s="1"/>
  <c r="X37" s="1"/>
  <c r="S36"/>
  <c r="U36" s="1"/>
  <c r="U37" s="1"/>
  <c r="W23"/>
  <c r="X23" s="1"/>
  <c r="T23"/>
  <c r="U23" s="1"/>
  <c r="V39"/>
  <c r="X39" s="1"/>
  <c r="T39"/>
  <c r="U39" s="1"/>
  <c r="Q39"/>
  <c r="R39" s="1"/>
  <c r="W22"/>
  <c r="X22" s="1"/>
  <c r="T22"/>
  <c r="U22" s="1"/>
  <c r="Q22"/>
  <c r="R22" s="1"/>
  <c r="W9"/>
  <c r="X9" s="1"/>
  <c r="T9"/>
  <c r="U9" s="1"/>
  <c r="Q9"/>
  <c r="R9" s="1"/>
  <c r="V45"/>
  <c r="X45" s="1"/>
  <c r="S45"/>
  <c r="U45" s="1"/>
  <c r="Q45"/>
  <c r="R45" s="1"/>
  <c r="W21"/>
  <c r="X21" s="1"/>
  <c r="T21"/>
  <c r="Q21"/>
  <c r="R21" s="1"/>
  <c r="W20"/>
  <c r="X20" s="1"/>
  <c r="T20"/>
  <c r="U20" s="1"/>
  <c r="Q20"/>
  <c r="R20" s="1"/>
  <c r="W27"/>
  <c r="X27" s="1"/>
  <c r="S27"/>
  <c r="U27" s="1"/>
  <c r="Q27"/>
  <c r="R27" s="1"/>
  <c r="V38"/>
  <c r="X38" s="1"/>
  <c r="T38"/>
  <c r="U38" s="1"/>
  <c r="Q38"/>
  <c r="R38" s="1"/>
  <c r="V44"/>
  <c r="X44" s="1"/>
  <c r="Q44"/>
  <c r="R44" s="1"/>
  <c r="W31"/>
  <c r="X31" s="1"/>
  <c r="T31"/>
  <c r="T35" s="1"/>
  <c r="W6"/>
  <c r="X6" s="1"/>
  <c r="T6"/>
  <c r="U6" s="1"/>
  <c r="Q6"/>
  <c r="R6" s="1"/>
  <c r="W18"/>
  <c r="X18" s="1"/>
  <c r="T18"/>
  <c r="U18" s="1"/>
  <c r="Q18"/>
  <c r="R18" s="1"/>
  <c r="T8"/>
  <c r="U8" s="1"/>
  <c r="Q8"/>
  <c r="R8" s="1"/>
  <c r="S42"/>
  <c r="U42" s="1"/>
  <c r="U43" s="1"/>
  <c r="Q42"/>
  <c r="Q43" s="1"/>
  <c r="V16"/>
  <c r="X16" s="1"/>
  <c r="S16"/>
  <c r="S26" s="1"/>
  <c r="Q16"/>
  <c r="R16" s="1"/>
  <c r="T13"/>
  <c r="U13" s="1"/>
  <c r="Q13"/>
  <c r="R13" s="1"/>
  <c r="W14"/>
  <c r="W15" s="1"/>
  <c r="T14"/>
  <c r="U14" s="1"/>
  <c r="Q14"/>
  <c r="R14" s="1"/>
  <c r="O40"/>
  <c r="O41" s="1"/>
  <c r="O73"/>
  <c r="O74" s="1"/>
  <c r="R36"/>
  <c r="R37" s="1"/>
  <c r="R31"/>
  <c r="R25"/>
  <c r="R10"/>
  <c r="R11"/>
  <c r="P74"/>
  <c r="P43"/>
  <c r="O43"/>
  <c r="P41"/>
  <c r="Q37"/>
  <c r="P37"/>
  <c r="O37"/>
  <c r="P26"/>
  <c r="O26"/>
  <c r="P15"/>
  <c r="O15"/>
  <c r="P12"/>
  <c r="O12"/>
  <c r="U21"/>
  <c r="X24"/>
  <c r="X25"/>
  <c r="U25"/>
  <c r="X10"/>
  <c r="X11"/>
  <c r="U10"/>
  <c r="U11"/>
  <c r="M44"/>
  <c r="M8"/>
  <c r="W41"/>
  <c r="T37"/>
  <c r="W37"/>
  <c r="U44"/>
  <c r="W43"/>
  <c r="V43"/>
  <c r="T43"/>
  <c r="X8"/>
  <c r="V15"/>
  <c r="S15"/>
  <c r="X13"/>
  <c r="V12"/>
  <c r="S12"/>
  <c r="T74"/>
  <c r="X42"/>
  <c r="X43" s="1"/>
  <c r="J45" i="18"/>
  <c r="Y42"/>
  <c r="AA42" s="1"/>
  <c r="Y40"/>
  <c r="AA40" s="1"/>
  <c r="V39"/>
  <c r="B14" i="19" s="1"/>
  <c r="Y35" i="18"/>
  <c r="AA35" s="1"/>
  <c r="W35"/>
  <c r="W37"/>
  <c r="Y27"/>
  <c r="AA27" s="1"/>
  <c r="Y25"/>
  <c r="AA25" s="1"/>
  <c r="J13" i="19"/>
  <c r="J11"/>
  <c r="G6"/>
  <c r="G7"/>
  <c r="G9"/>
  <c r="G10"/>
  <c r="G16" s="1"/>
  <c r="G13"/>
  <c r="G14"/>
  <c r="E16"/>
  <c r="E17" s="1"/>
  <c r="L8" i="18"/>
  <c r="P26" i="21"/>
  <c r="E12" i="22" s="1"/>
  <c r="R23" i="21"/>
  <c r="R26" s="1"/>
  <c r="Q20"/>
  <c r="F25" i="19" s="1"/>
  <c r="P34" i="21"/>
  <c r="E15" i="22" s="1"/>
  <c r="R6" i="21"/>
  <c r="R11" s="1"/>
  <c r="R12"/>
  <c r="R13"/>
  <c r="R20" s="1"/>
  <c r="R21"/>
  <c r="R22" s="1"/>
  <c r="R29"/>
  <c r="R33"/>
  <c r="R34" s="1"/>
  <c r="L20"/>
  <c r="O12"/>
  <c r="N20"/>
  <c r="C8" i="22"/>
  <c r="O13" i="21"/>
  <c r="O33"/>
  <c r="L6"/>
  <c r="L11"/>
  <c r="O6"/>
  <c r="O11" s="1"/>
  <c r="L25"/>
  <c r="M26"/>
  <c r="B29" i="19" s="1"/>
  <c r="L33" i="21"/>
  <c r="L34" s="1"/>
  <c r="M34"/>
  <c r="B15" i="22" s="1"/>
  <c r="O21" i="21"/>
  <c r="O22" s="1"/>
  <c r="L23"/>
  <c r="L26" s="1"/>
  <c r="K35"/>
  <c r="B35" i="19"/>
  <c r="D26"/>
  <c r="C35"/>
  <c r="D24"/>
  <c r="D35" s="1"/>
  <c r="G18"/>
  <c r="W7" i="18"/>
  <c r="X7" s="1"/>
  <c r="T47"/>
  <c r="W17"/>
  <c r="X17" s="1"/>
  <c r="L37"/>
  <c r="AC11"/>
  <c r="K14"/>
  <c r="X38"/>
  <c r="X39" s="1"/>
  <c r="U37"/>
  <c r="AC23"/>
  <c r="AD48"/>
  <c r="X33"/>
  <c r="X34" s="1"/>
  <c r="AD34"/>
  <c r="AD46" s="1"/>
  <c r="U14"/>
  <c r="L45"/>
  <c r="AA12"/>
  <c r="J23"/>
  <c r="J47" s="1"/>
  <c r="AE45"/>
  <c r="AA17"/>
  <c r="V14"/>
  <c r="B7" i="19" s="1"/>
  <c r="S46" i="18"/>
  <c r="AB46"/>
  <c r="Z37"/>
  <c r="R45"/>
  <c r="V37"/>
  <c r="B12" i="19" s="1"/>
  <c r="X26" i="18"/>
  <c r="X19"/>
  <c r="AA7"/>
  <c r="U32"/>
  <c r="O11"/>
  <c r="AE14"/>
  <c r="X44"/>
  <c r="W45"/>
  <c r="C15" i="19" s="1"/>
  <c r="I15" s="1"/>
  <c r="AA22" i="18"/>
  <c r="L29"/>
  <c r="O29"/>
  <c r="X36"/>
  <c r="U45"/>
  <c r="S47"/>
  <c r="M47"/>
  <c r="R37"/>
  <c r="R32"/>
  <c r="AD47"/>
  <c r="K46"/>
  <c r="Z11"/>
  <c r="P47"/>
  <c r="X22"/>
  <c r="AA38"/>
  <c r="AA39" s="1"/>
  <c r="V11"/>
  <c r="B6" i="19" s="1"/>
  <c r="AA9" i="18"/>
  <c r="X42"/>
  <c r="AE37"/>
  <c r="X25"/>
  <c r="AA28"/>
  <c r="R11"/>
  <c r="Y11"/>
  <c r="U11"/>
  <c r="K48"/>
  <c r="Y32"/>
  <c r="V32"/>
  <c r="V48" s="1"/>
  <c r="U23"/>
  <c r="O14"/>
  <c r="T46"/>
  <c r="K47"/>
  <c r="AA10"/>
  <c r="AA8"/>
  <c r="B9" i="22"/>
  <c r="B9" i="19"/>
  <c r="H9" s="1"/>
  <c r="AA6" i="18"/>
  <c r="AA11" s="1"/>
  <c r="X12"/>
  <c r="AA33"/>
  <c r="AA34" s="1"/>
  <c r="P46"/>
  <c r="L32"/>
  <c r="X35"/>
  <c r="X37" s="1"/>
  <c r="AC48"/>
  <c r="T48"/>
  <c r="Q48"/>
  <c r="N48"/>
  <c r="J48"/>
  <c r="X24"/>
  <c r="M35" i="21"/>
  <c r="N35"/>
  <c r="Q35"/>
  <c r="Z18" i="18"/>
  <c r="AA18" s="1"/>
  <c r="B23" i="19"/>
  <c r="C23"/>
  <c r="D23" s="1"/>
  <c r="B25"/>
  <c r="F27"/>
  <c r="C27"/>
  <c r="F29"/>
  <c r="E29"/>
  <c r="B31"/>
  <c r="B32"/>
  <c r="E32"/>
  <c r="E31"/>
  <c r="G31" s="1"/>
  <c r="C31"/>
  <c r="E6" i="22"/>
  <c r="F8"/>
  <c r="B10"/>
  <c r="B12"/>
  <c r="F14"/>
  <c r="F15"/>
  <c r="F23" i="19"/>
  <c r="G23" s="1"/>
  <c r="C25"/>
  <c r="C29"/>
  <c r="C32"/>
  <c r="D31"/>
  <c r="H6"/>
  <c r="X41" i="18"/>
  <c r="X28"/>
  <c r="AA16"/>
  <c r="X16"/>
  <c r="X13"/>
  <c r="X14" s="1"/>
  <c r="X18"/>
  <c r="Q23"/>
  <c r="Q47" s="1"/>
  <c r="C12" i="19"/>
  <c r="I12" s="1"/>
  <c r="V45" i="18"/>
  <c r="B15" i="19" s="1"/>
  <c r="X40" i="18"/>
  <c r="AA26"/>
  <c r="AA21"/>
  <c r="Z14"/>
  <c r="C7" i="22" s="1"/>
  <c r="AC46" i="18"/>
  <c r="AB47"/>
  <c r="R23"/>
  <c r="Q46"/>
  <c r="J46" l="1"/>
  <c r="D10" i="22"/>
  <c r="D12"/>
  <c r="D32" i="19"/>
  <c r="W32" i="18"/>
  <c r="C9" i="19" s="1"/>
  <c r="X29" i="18"/>
  <c r="U48"/>
  <c r="R48"/>
  <c r="R47"/>
  <c r="M32"/>
  <c r="W9"/>
  <c r="X9" s="1"/>
  <c r="D14" i="22"/>
  <c r="W48" i="18"/>
  <c r="C7" i="19"/>
  <c r="D7" s="1"/>
  <c r="N45" i="18"/>
  <c r="Z44"/>
  <c r="X43"/>
  <c r="X45" s="1"/>
  <c r="O37"/>
  <c r="Y14"/>
  <c r="G6" i="22"/>
  <c r="L23" i="18"/>
  <c r="C33" i="19"/>
  <c r="C34" s="1"/>
  <c r="G29"/>
  <c r="AC47" i="18"/>
  <c r="AE47"/>
  <c r="O32"/>
  <c r="O48" s="1"/>
  <c r="D25" i="19"/>
  <c r="D27"/>
  <c r="D8" i="22"/>
  <c r="U40" i="14"/>
  <c r="U41" s="1"/>
  <c r="V35"/>
  <c r="V77" s="1"/>
  <c r="T41"/>
  <c r="V37"/>
  <c r="V26"/>
  <c r="U15"/>
  <c r="S43"/>
  <c r="W26"/>
  <c r="X29"/>
  <c r="X35" s="1"/>
  <c r="Q15"/>
  <c r="W74"/>
  <c r="S37"/>
  <c r="R40"/>
  <c r="R41" s="1"/>
  <c r="U31"/>
  <c r="U35" s="1"/>
  <c r="X14"/>
  <c r="X15" s="1"/>
  <c r="Q12"/>
  <c r="T15"/>
  <c r="T77" s="1"/>
  <c r="V41"/>
  <c r="U16"/>
  <c r="U26" s="1"/>
  <c r="O77"/>
  <c r="B7" i="22"/>
  <c r="B18" s="1"/>
  <c r="Y48" i="18"/>
  <c r="D10" i="19"/>
  <c r="I10"/>
  <c r="J10" s="1"/>
  <c r="X21" i="18"/>
  <c r="W23"/>
  <c r="C8" i="19" s="1"/>
  <c r="I8" s="1"/>
  <c r="E8" i="22"/>
  <c r="E25" i="19"/>
  <c r="G25" s="1"/>
  <c r="B33"/>
  <c r="B34" s="1"/>
  <c r="J35" i="21"/>
  <c r="O26"/>
  <c r="R42" i="14"/>
  <c r="R43" s="1"/>
  <c r="Y43" i="18"/>
  <c r="AA43" s="1"/>
  <c r="Y36"/>
  <c r="Y37" s="1"/>
  <c r="X27"/>
  <c r="X20"/>
  <c r="V15"/>
  <c r="X32"/>
  <c r="AE32"/>
  <c r="G15" i="22"/>
  <c r="G8"/>
  <c r="Q37" i="21"/>
  <c r="X12" i="14"/>
  <c r="Y15" i="18"/>
  <c r="G35" i="19"/>
  <c r="B18"/>
  <c r="H7"/>
  <c r="D15" i="22"/>
  <c r="U46" i="18"/>
  <c r="U47"/>
  <c r="E10" i="22"/>
  <c r="P35" i="21"/>
  <c r="P37" s="1"/>
  <c r="E27" i="19"/>
  <c r="D12"/>
  <c r="H12"/>
  <c r="J12" s="1"/>
  <c r="H14"/>
  <c r="J14" s="1"/>
  <c r="D14"/>
  <c r="W11" i="18"/>
  <c r="X6"/>
  <c r="X11" s="1"/>
  <c r="R46"/>
  <c r="F33" i="19"/>
  <c r="F34" s="1"/>
  <c r="G14" i="22"/>
  <c r="O20" i="21"/>
  <c r="R35"/>
  <c r="G12" i="22"/>
  <c r="P77" i="14"/>
  <c r="P76"/>
  <c r="U12"/>
  <c r="T26"/>
  <c r="O45" i="18"/>
  <c r="S74" i="14"/>
  <c r="D6" i="22"/>
  <c r="L11" i="18"/>
  <c r="D29" i="19"/>
  <c r="G32"/>
  <c r="G17"/>
  <c r="L35" i="21"/>
  <c r="X41" i="14"/>
  <c r="U74"/>
  <c r="O76"/>
  <c r="R15"/>
  <c r="X26"/>
  <c r="R12"/>
  <c r="W12"/>
  <c r="Q41"/>
  <c r="R73"/>
  <c r="R74" s="1"/>
  <c r="Y41" i="18"/>
  <c r="L14"/>
  <c r="L48" s="1"/>
  <c r="F16" i="22"/>
  <c r="F17" s="1"/>
  <c r="G9"/>
  <c r="G18" s="1"/>
  <c r="X74" i="14"/>
  <c r="Q26"/>
  <c r="V74"/>
  <c r="T12"/>
  <c r="W35"/>
  <c r="W77" s="1"/>
  <c r="S35"/>
  <c r="S77" s="1"/>
  <c r="R34"/>
  <c r="R35" s="1"/>
  <c r="Q35"/>
  <c r="Q74"/>
  <c r="R26"/>
  <c r="P75"/>
  <c r="O75"/>
  <c r="D15" i="19"/>
  <c r="H15"/>
  <c r="X48" i="18"/>
  <c r="D33" i="19"/>
  <c r="D34" s="1"/>
  <c r="O23" i="18"/>
  <c r="O34" i="21"/>
  <c r="O35" s="1"/>
  <c r="Z24" i="18"/>
  <c r="Z20"/>
  <c r="AA20" s="1"/>
  <c r="Z19"/>
  <c r="B16" i="22" l="1"/>
  <c r="B17" s="1"/>
  <c r="D7"/>
  <c r="M48" i="18"/>
  <c r="M46"/>
  <c r="I9" i="19"/>
  <c r="J9" s="1"/>
  <c r="D9"/>
  <c r="D18" s="1"/>
  <c r="AA44" i="18"/>
  <c r="Z45"/>
  <c r="I7" i="19"/>
  <c r="I18" s="1"/>
  <c r="C18"/>
  <c r="N46" i="18"/>
  <c r="N47"/>
  <c r="U77" i="14"/>
  <c r="Q77"/>
  <c r="S76"/>
  <c r="X75"/>
  <c r="W76"/>
  <c r="V76"/>
  <c r="Y23" i="18"/>
  <c r="AA15"/>
  <c r="X76" i="14"/>
  <c r="AE46" i="18"/>
  <c r="AE48"/>
  <c r="V23"/>
  <c r="X15"/>
  <c r="X23" s="1"/>
  <c r="X46" s="1"/>
  <c r="AA36"/>
  <c r="AA37" s="1"/>
  <c r="R77" i="14"/>
  <c r="Q75"/>
  <c r="W75"/>
  <c r="G27" i="19"/>
  <c r="G33" s="1"/>
  <c r="G34" s="1"/>
  <c r="E33"/>
  <c r="E34" s="1"/>
  <c r="G10" i="22"/>
  <c r="E16"/>
  <c r="E17" s="1"/>
  <c r="H18" i="19"/>
  <c r="U76" i="14"/>
  <c r="Y45" i="18"/>
  <c r="AA41"/>
  <c r="AA45" s="1"/>
  <c r="L47"/>
  <c r="L46"/>
  <c r="C6" i="19"/>
  <c r="W46" i="18"/>
  <c r="W47"/>
  <c r="G16" i="22"/>
  <c r="G17" s="1"/>
  <c r="R76" i="14"/>
  <c r="T76"/>
  <c r="T75"/>
  <c r="U75"/>
  <c r="Q76"/>
  <c r="X77"/>
  <c r="V75"/>
  <c r="R75"/>
  <c r="S75"/>
  <c r="AA19" i="18"/>
  <c r="Z23"/>
  <c r="Z32"/>
  <c r="AA24"/>
  <c r="AA32" s="1"/>
  <c r="AA48" s="1"/>
  <c r="O46"/>
  <c r="O47"/>
  <c r="J15" i="19"/>
  <c r="J7" l="1"/>
  <c r="J18" s="1"/>
  <c r="V47" i="18"/>
  <c r="B8" i="19"/>
  <c r="V46" i="18"/>
  <c r="AA23"/>
  <c r="X47"/>
  <c r="D6" i="19"/>
  <c r="C16"/>
  <c r="C17" s="1"/>
  <c r="I6"/>
  <c r="Y47" i="18"/>
  <c r="Y46"/>
  <c r="Z47"/>
  <c r="Z46"/>
  <c r="C9" i="22"/>
  <c r="Z48" i="18"/>
  <c r="AA47"/>
  <c r="AA46"/>
  <c r="H8" i="19" l="1"/>
  <c r="D8"/>
  <c r="D16" s="1"/>
  <c r="D17" s="1"/>
  <c r="B16"/>
  <c r="B17" s="1"/>
  <c r="I16"/>
  <c r="I17" s="1"/>
  <c r="J6"/>
  <c r="D9" i="22"/>
  <c r="C18"/>
  <c r="C16"/>
  <c r="C17" l="1"/>
  <c r="J8" i="19"/>
  <c r="J16" s="1"/>
  <c r="J17" s="1"/>
  <c r="H16"/>
  <c r="H17" s="1"/>
  <c r="D18" i="22"/>
  <c r="D16"/>
  <c r="D17" l="1"/>
</calcChain>
</file>

<file path=xl/sharedStrings.xml><?xml version="1.0" encoding="utf-8"?>
<sst xmlns="http://schemas.openxmlformats.org/spreadsheetml/2006/main" count="945" uniqueCount="334">
  <si>
    <t>PTRES</t>
  </si>
  <si>
    <t>CORRENTE</t>
  </si>
  <si>
    <t>CAPITAL</t>
  </si>
  <si>
    <t>UNIVERSIDADE DE PERNAMBUCO</t>
  </si>
  <si>
    <t>TOTAL</t>
  </si>
  <si>
    <t>0073</t>
  </si>
  <si>
    <t>0095</t>
  </si>
  <si>
    <t>0075</t>
  </si>
  <si>
    <t>0785</t>
  </si>
  <si>
    <t>0074</t>
  </si>
  <si>
    <t>0076</t>
  </si>
  <si>
    <t>D</t>
  </si>
  <si>
    <t>M</t>
  </si>
  <si>
    <t>A</t>
  </si>
  <si>
    <t>CONTRAPARTIDA</t>
  </si>
  <si>
    <t>4314</t>
  </si>
  <si>
    <t>CONCEDENTE/RENDIMENTO</t>
  </si>
  <si>
    <t>GERAL</t>
  </si>
  <si>
    <t>ENSINO</t>
  </si>
  <si>
    <t>SAÚDE</t>
  </si>
  <si>
    <t>CÓDIGO EFISCO</t>
  </si>
  <si>
    <t>OBSERVAÇÃO</t>
  </si>
  <si>
    <t>Sem receber recursos do concedente</t>
  </si>
  <si>
    <t>Ainda a receber R$ 1.000.000,00</t>
  </si>
  <si>
    <t>OBJETO</t>
  </si>
  <si>
    <t>Emenda Parlamentar - Obras</t>
  </si>
  <si>
    <t>Auditório FFPG</t>
  </si>
  <si>
    <t>Emenda Parlamentar - Equipamentos</t>
  </si>
  <si>
    <t>Projeto Procampo</t>
  </si>
  <si>
    <t>Cursos bacharelado em administração pública, especialização em gestão em saúde, ensino da biologia, ensino da matemática e licenciatura em letras português, biologia e pedagogia na modalidade EAD no âmbito da UAB</t>
  </si>
  <si>
    <t>773942/ 2012</t>
  </si>
  <si>
    <t>704091/ 2010</t>
  </si>
  <si>
    <t>701402/ 2011</t>
  </si>
  <si>
    <t>3650/ 2007</t>
  </si>
  <si>
    <t>703678/ 2010</t>
  </si>
  <si>
    <t>655501/ 2010</t>
  </si>
  <si>
    <t>CONVÊ NIO</t>
  </si>
  <si>
    <t>Implantação de curso de ciências biológicas no âmbito do Sistema Universidade Aberta do Brasil- UAB</t>
  </si>
  <si>
    <t>782315/ 2013</t>
  </si>
  <si>
    <t>CONCEDENTE</t>
  </si>
  <si>
    <t>Equipamentos Programa Pós-Graduação</t>
  </si>
  <si>
    <t>PRO-SAUDE E PET-SAÚDE</t>
  </si>
  <si>
    <t>776564/ 2012</t>
  </si>
  <si>
    <t>776568/ 2012</t>
  </si>
  <si>
    <t>774872/ 2012</t>
  </si>
  <si>
    <t>777975/ 2012</t>
  </si>
  <si>
    <t>786834/ 2013</t>
  </si>
  <si>
    <t>PAFOR Formação de Profissionais do Magistério</t>
  </si>
  <si>
    <t>Equipamentos e materiais permanentes para o curso de medicina de garanhuns</t>
  </si>
  <si>
    <t>Equipamentos Implantação e Requalificação cursos: Medicina, Odontologia, Enfermagem, Fisioterapia e Nutrição nos Campi Recife, RMR e Interior</t>
  </si>
  <si>
    <t>Obras HUOC Radioterapia</t>
  </si>
  <si>
    <t>0078</t>
  </si>
  <si>
    <t>796032/ 2013</t>
  </si>
  <si>
    <t>Refeitório HUOC</t>
  </si>
  <si>
    <t>794647/ 2013</t>
  </si>
  <si>
    <t>782788/ 2013</t>
  </si>
  <si>
    <t>796722/ 2013</t>
  </si>
  <si>
    <t>Desenvolver ideias e soluções tecnologicas inovadores e qualificar profissional de alto nível em inovação tecnologica para saúde nas areas prioritarios do sus.</t>
  </si>
  <si>
    <t>796577/ 2013</t>
  </si>
  <si>
    <t>Reforma do Auditorio FFPP</t>
  </si>
  <si>
    <t>Equipamentos Auditorio FFPG</t>
  </si>
  <si>
    <t>Construção de Salas de Aula e Laboratórios FFPG</t>
  </si>
  <si>
    <t>Plano Anual de Capacitação do CEAD - Cursos de extensão ou aperfeiçoamento na modalidade presencial, semipresencial ou a distância</t>
  </si>
  <si>
    <t xml:space="preserve">Ainda a receber R$ 140.000,00 </t>
  </si>
  <si>
    <t>Ainda a receber R$ 7.436.576,53</t>
  </si>
  <si>
    <t>Equipamento HUOC/PROCAPE</t>
  </si>
  <si>
    <t>Equipamento Auditório FFPP</t>
  </si>
  <si>
    <t>Equipamentos Laboratório Física Experimental da POLI</t>
  </si>
  <si>
    <t xml:space="preserve">    40/ 2010</t>
  </si>
  <si>
    <t>784784/ 2013</t>
  </si>
  <si>
    <t>789048/ 2013</t>
  </si>
  <si>
    <t>791291/ 2013</t>
  </si>
  <si>
    <t>791047/ 2013</t>
  </si>
  <si>
    <t>807381/ 2014</t>
  </si>
  <si>
    <t>807377/ 2014</t>
  </si>
  <si>
    <t>Implementação e oferta de Cursos de Extensão ou Aperfeiçoamento na Modalidade Presencial,Semipresencial ou a Distância</t>
  </si>
  <si>
    <t>768644/ 2011</t>
  </si>
  <si>
    <t>CONTA CORRENTE</t>
  </si>
  <si>
    <t>10164-8</t>
  </si>
  <si>
    <t>10465-5</t>
  </si>
  <si>
    <t>10862-6</t>
  </si>
  <si>
    <t>8946-X</t>
  </si>
  <si>
    <t>10359-4</t>
  </si>
  <si>
    <t>9852-3</t>
  </si>
  <si>
    <t>10148-6</t>
  </si>
  <si>
    <t>10704-2</t>
  </si>
  <si>
    <t>10705-0</t>
  </si>
  <si>
    <t>10962-2</t>
  </si>
  <si>
    <t>10963-0</t>
  </si>
  <si>
    <t>10965-7</t>
  </si>
  <si>
    <t>10714-X</t>
  </si>
  <si>
    <t>10976-2</t>
  </si>
  <si>
    <t>10979-7</t>
  </si>
  <si>
    <t>10977-0</t>
  </si>
  <si>
    <t>10549-X</t>
  </si>
  <si>
    <t>10964-9</t>
  </si>
  <si>
    <t>10668-2</t>
  </si>
  <si>
    <t>10894-4</t>
  </si>
  <si>
    <t>15690-6</t>
  </si>
  <si>
    <t>10662-3</t>
  </si>
  <si>
    <t>10742-5</t>
  </si>
  <si>
    <t>10961-4</t>
  </si>
  <si>
    <t>11086-8</t>
  </si>
  <si>
    <t>11085-X</t>
  </si>
  <si>
    <t xml:space="preserve">Sem receber recursos do concedente </t>
  </si>
  <si>
    <t>815207</t>
  </si>
  <si>
    <t>11169-4</t>
  </si>
  <si>
    <t>Rampa e Elevador na FFPG</t>
  </si>
  <si>
    <t>815209</t>
  </si>
  <si>
    <t>11170-8</t>
  </si>
  <si>
    <t>Quadra Poliesportiva na FFPNM</t>
  </si>
  <si>
    <t>Equipamentos Laboratório Quimica da POLI</t>
  </si>
  <si>
    <t>815218</t>
  </si>
  <si>
    <t>11172-4</t>
  </si>
  <si>
    <t>812401</t>
  </si>
  <si>
    <t>Valor Concedente lançado errado no Efisco</t>
  </si>
  <si>
    <t>Estudos e pesquisas - Prevenção da infecção hiv e das hepatites virais</t>
  </si>
  <si>
    <t>11178-3</t>
  </si>
  <si>
    <t>Aquisição de Equipamentos para PROCAPE</t>
  </si>
  <si>
    <t>VIGÊNCIA EFISCO</t>
  </si>
  <si>
    <t>VALOR DO CONVÊNIO</t>
  </si>
  <si>
    <t>RENDI MENTO</t>
  </si>
  <si>
    <t>CONTRA PARTIDA</t>
  </si>
  <si>
    <t>Vencido, já solicitado prorrogação</t>
  </si>
  <si>
    <t>SALDO ATUAL DOS CONVÊNIOS FEDERAIS NA UPE</t>
  </si>
  <si>
    <t>Ainda a receber R$125.000,00</t>
  </si>
  <si>
    <t>817774/ 2015</t>
  </si>
  <si>
    <t>PROAP</t>
  </si>
  <si>
    <t>Ainda a receber R$ 448.552,50</t>
  </si>
  <si>
    <t>SALDO A EXECUTAR INICIAL NO EFISCO</t>
  </si>
  <si>
    <t>Vigência encerra-se no 1º semestre 2016</t>
  </si>
  <si>
    <t>Posição em 20/01/16</t>
  </si>
  <si>
    <t>Vigência encerra-se no 2º semestre 2016</t>
  </si>
  <si>
    <t>DESDOBRAMENTO</t>
  </si>
  <si>
    <t>FALTA</t>
  </si>
  <si>
    <t>PROPLAN</t>
  </si>
  <si>
    <t>PROADMI</t>
  </si>
  <si>
    <t>EMPENHADO</t>
  </si>
  <si>
    <t>PROGRAMAÇÃO FINANCEIRA 2016</t>
  </si>
  <si>
    <t>Posição em 27/01/16</t>
  </si>
  <si>
    <r>
      <t xml:space="preserve">EFISCO INICIO ANO </t>
    </r>
    <r>
      <rPr>
        <b/>
        <sz val="14"/>
        <color indexed="10"/>
        <rFont val="Arial"/>
        <family val="2"/>
      </rPr>
      <t>(Valor Recebido)</t>
    </r>
  </si>
  <si>
    <t>Valor total de R$ 649.359,03, lançado errado no efisco, concedente é 600 mil, foi reduzido para R$ 100.000,00 o concedente. Emenda não aprovada</t>
  </si>
  <si>
    <t>FALTA DESDOBRAR</t>
  </si>
  <si>
    <t>DOTAÇÃO ATUAL</t>
  </si>
  <si>
    <t>SALDO</t>
  </si>
  <si>
    <t>0089</t>
  </si>
  <si>
    <t>0098</t>
  </si>
  <si>
    <t>SALDOS CONVÊNIOS FEDERAIS 2016</t>
  </si>
  <si>
    <t>Solicitado Devolução do Concedente</t>
  </si>
  <si>
    <t>CONTRAPARTIDA 2017</t>
  </si>
  <si>
    <t>CONTRAPARTIDA 2016</t>
  </si>
  <si>
    <t>2017 = Recursos que ainda não chegaram a parte do concedente</t>
  </si>
  <si>
    <t>Aquisição de equipamento e material permanente para unidade de atenção especializada em saúde</t>
  </si>
  <si>
    <t>11276-3</t>
  </si>
  <si>
    <t>826538/ 2015</t>
  </si>
  <si>
    <t>817098/2015</t>
  </si>
  <si>
    <t>Iniciativas Educacionais Aplicadas a Vigilância em Saúde ( Decorrente Do Chamamento Publico Nº 05/2014 SVS/MS)</t>
  </si>
  <si>
    <t>11237-2</t>
  </si>
  <si>
    <t>Prestação de contas em Aberto</t>
  </si>
  <si>
    <t>Em reformulação</t>
  </si>
  <si>
    <t>Em execução</t>
  </si>
  <si>
    <t>774065/2012</t>
  </si>
  <si>
    <t>Aprovada PC com ressalva</t>
  </si>
  <si>
    <t>777376/2012</t>
  </si>
  <si>
    <t>30,000,00</t>
  </si>
  <si>
    <t>SITUAÇÃO</t>
  </si>
  <si>
    <t>781341/2012</t>
  </si>
  <si>
    <t>UNIDADE</t>
  </si>
  <si>
    <t>Conjuntos de Obras</t>
  </si>
  <si>
    <t xml:space="preserve"> FFPG</t>
  </si>
  <si>
    <t>Equipamentos</t>
  </si>
  <si>
    <t>PROCAP</t>
  </si>
  <si>
    <t>FCM</t>
  </si>
  <si>
    <t>CONVÊNIO</t>
  </si>
  <si>
    <t>812401/2014</t>
  </si>
  <si>
    <t>822679/2015</t>
  </si>
  <si>
    <t>CISAM</t>
  </si>
  <si>
    <t>Não liberado recurso</t>
  </si>
  <si>
    <t>HUOC</t>
  </si>
  <si>
    <t>821942/2015</t>
  </si>
  <si>
    <t>Equipamento</t>
  </si>
  <si>
    <t xml:space="preserve">Em execução/Processo liberatório </t>
  </si>
  <si>
    <t>825134/2015</t>
  </si>
  <si>
    <t>Reforma Ambiente</t>
  </si>
  <si>
    <t>826133/20115</t>
  </si>
  <si>
    <t>Em execução/Processo Licitatório</t>
  </si>
  <si>
    <t>833999/2016</t>
  </si>
  <si>
    <t xml:space="preserve">Equipamento </t>
  </si>
  <si>
    <t>835138/2016</t>
  </si>
  <si>
    <t>834002/2016</t>
  </si>
  <si>
    <t>834001/2016</t>
  </si>
  <si>
    <t>PC em Análise</t>
  </si>
  <si>
    <t>40/2010</t>
  </si>
  <si>
    <t>A receber R$ 7.436.576,53</t>
  </si>
  <si>
    <t>SECADI/MEC</t>
  </si>
  <si>
    <t>701629/2011</t>
  </si>
  <si>
    <t>Quadra Pooliesportiva</t>
  </si>
  <si>
    <t>PCF</t>
  </si>
  <si>
    <t>FOP</t>
  </si>
  <si>
    <t xml:space="preserve">                       UAB</t>
  </si>
  <si>
    <t>778528/2012</t>
  </si>
  <si>
    <t>778521/2012</t>
  </si>
  <si>
    <t>POLI</t>
  </si>
  <si>
    <t>782649/2013</t>
  </si>
  <si>
    <t>Equipamento e serviços</t>
  </si>
  <si>
    <t>Petrolina</t>
  </si>
  <si>
    <t>789049/2013</t>
  </si>
  <si>
    <t>Equipamento de Fisica Experimental</t>
  </si>
  <si>
    <t>787484/2013</t>
  </si>
  <si>
    <t>FFPP</t>
  </si>
  <si>
    <t xml:space="preserve">                      FFPP</t>
  </si>
  <si>
    <t xml:space="preserve">Reforma do Auditorio </t>
  </si>
  <si>
    <t xml:space="preserve">Implantação de curso de ciências biológicas no âmbito do Sistema Universidade Aberta do Brasil- </t>
  </si>
  <si>
    <t xml:space="preserve">                        UAB</t>
  </si>
  <si>
    <t xml:space="preserve">                      CEAD</t>
  </si>
  <si>
    <t>Oferta dos 5º e 6º período dos cursos de licenciatura em pedagogia e letras</t>
  </si>
  <si>
    <t>NEAD/UPE</t>
  </si>
  <si>
    <t>811523/2014</t>
  </si>
  <si>
    <t>Equipamentos campus Camaragibe</t>
  </si>
  <si>
    <t>Camaragibe</t>
  </si>
  <si>
    <t>815207/2014</t>
  </si>
  <si>
    <t>Implantação de 72m de rampa e aquisição de 1 elevador</t>
  </si>
  <si>
    <t>815209/2014</t>
  </si>
  <si>
    <t>802110/2014</t>
  </si>
  <si>
    <t>Fomento planejamento dos cursos e execuçaõi da política-pós graduação</t>
  </si>
  <si>
    <t>815210/2014</t>
  </si>
  <si>
    <t>Equipamento p/ laboratorio de automoção</t>
  </si>
  <si>
    <t>Fomentar o planejamento e execuçao da politica institucional da Pós-graduação</t>
  </si>
  <si>
    <t>824046/2015</t>
  </si>
  <si>
    <t>Redes de apoio sociais as crianças e adolescentes em risco</t>
  </si>
  <si>
    <t>824047/2015</t>
  </si>
  <si>
    <t>Financiamento p/ execuçaõ do projeto de extensao</t>
  </si>
  <si>
    <t>REITORIA</t>
  </si>
  <si>
    <t>Rivaldo/ Socorro</t>
  </si>
  <si>
    <t xml:space="preserve">PAFOR </t>
  </si>
  <si>
    <t>703677-10</t>
  </si>
  <si>
    <t>Veículos</t>
  </si>
  <si>
    <t>Finalisado (devolução de parte de recurso)</t>
  </si>
  <si>
    <t>Acervo biográfico</t>
  </si>
  <si>
    <t>UPE-Arcoverde\Garanhuns</t>
  </si>
  <si>
    <t>Construçao Auditório</t>
  </si>
  <si>
    <t>Aquisiçao de Equipamentos</t>
  </si>
  <si>
    <t>Anulado por término de virgência</t>
  </si>
  <si>
    <t>UPE-Mata norte</t>
  </si>
  <si>
    <t>UPE-Garanhuns</t>
  </si>
  <si>
    <t>Reforma Auditório</t>
  </si>
  <si>
    <t>Aquisição de Equipamentos</t>
  </si>
  <si>
    <t>Garanhuns-UPE</t>
  </si>
  <si>
    <t>PRORROGAÇÃO</t>
  </si>
  <si>
    <t>984-2015</t>
  </si>
  <si>
    <t>PROCAPE</t>
  </si>
  <si>
    <t>Finalização da quadra poliesportiva</t>
  </si>
  <si>
    <t xml:space="preserve">Equipamentos Laboratório Quimica </t>
  </si>
  <si>
    <t xml:space="preserve"> POLI</t>
  </si>
  <si>
    <t>815218-2014</t>
  </si>
  <si>
    <t xml:space="preserve">Aquisição de Equipamentos </t>
  </si>
  <si>
    <t>Simoni Moniz</t>
  </si>
  <si>
    <t>Lígia</t>
  </si>
  <si>
    <t>983/2015</t>
  </si>
  <si>
    <t>Solicitado liberação da 3º parcela ao gabinete de CADOCA - Ainda a receber R$125.000,00</t>
  </si>
  <si>
    <t>RESPONSAVEL/CONTATO/EMAIL</t>
  </si>
  <si>
    <t>ORIGEM DO CONVÊNIO</t>
  </si>
  <si>
    <t>MS\FNS</t>
  </si>
  <si>
    <t>2071\2007</t>
  </si>
  <si>
    <t xml:space="preserve">                                                                                                  </t>
  </si>
  <si>
    <t>Prestação de contas</t>
  </si>
  <si>
    <t>17\05\2017</t>
  </si>
  <si>
    <t>Prestação de contas aprovado com ressalva</t>
  </si>
  <si>
    <t>Pediu prorrogação</t>
  </si>
  <si>
    <t>750\2016</t>
  </si>
  <si>
    <t>12\04\2017</t>
  </si>
  <si>
    <t/>
  </si>
  <si>
    <t>Em contratação</t>
  </si>
  <si>
    <t>Tereza Cartaxo</t>
  </si>
  <si>
    <t>786834/13</t>
  </si>
  <si>
    <t>PC em análise até 06/10/2016</t>
  </si>
  <si>
    <t>Finalizado</t>
  </si>
  <si>
    <t>30\05\2016</t>
  </si>
  <si>
    <t>Equipamento Programa pós Graduação</t>
  </si>
  <si>
    <t>Ligia</t>
  </si>
  <si>
    <t>48</t>
  </si>
  <si>
    <t>PC em contemplação até 06/10/2016</t>
  </si>
  <si>
    <t xml:space="preserve">Professora Auxiliadora </t>
  </si>
  <si>
    <t>701383/11</t>
  </si>
  <si>
    <t>703804/10</t>
  </si>
  <si>
    <t>MEC/FNDE</t>
  </si>
  <si>
    <t>MS/FNS</t>
  </si>
  <si>
    <t>Pedido de prorrogação</t>
  </si>
  <si>
    <t>Prorrogação Solicitada Ofício Nº 732</t>
  </si>
  <si>
    <t>Respondendo Diligencia</t>
  </si>
  <si>
    <t>Solicitado prorrogação</t>
  </si>
  <si>
    <t>Prof. Socorro</t>
  </si>
  <si>
    <t>Prorrogação não aprovada</t>
  </si>
  <si>
    <t>787484/ 2013</t>
  </si>
  <si>
    <t>789049/ 2013</t>
  </si>
  <si>
    <t>Sendo comprado o ultimo equipamento do convenvio</t>
  </si>
  <si>
    <t>Processo Licitatório</t>
  </si>
  <si>
    <t>Pedido de prorrogação 716</t>
  </si>
  <si>
    <t>Solicitada prorrogação</t>
  </si>
  <si>
    <t>Solicitado prorrogação Oficio 710</t>
  </si>
  <si>
    <t>Professor Zé Roberto/ Professora Eliane Dourado</t>
  </si>
  <si>
    <t>Pedido prorrogação Oficio 426 - Ainda não foi aceito</t>
  </si>
  <si>
    <t>Professora Bernadete Antunes</t>
  </si>
  <si>
    <t>Luiz Oscar</t>
  </si>
  <si>
    <t>Professor Demócrito</t>
  </si>
  <si>
    <t>Pedido de prorrogação e Reformulação</t>
  </si>
  <si>
    <t>Professora Ligia</t>
  </si>
  <si>
    <t>Professor Antonio</t>
  </si>
  <si>
    <t>Professor Sergio montenegro</t>
  </si>
  <si>
    <t>Doutor Olímpio</t>
  </si>
  <si>
    <t>Doutor Roberto Lemos da APAF</t>
  </si>
  <si>
    <t>Professor Sérgio Montenegro</t>
  </si>
  <si>
    <t>Professora Ana carolina Pitangui</t>
  </si>
  <si>
    <t>Professor Emmanoel Sávio</t>
  </si>
  <si>
    <t>Professor José Roberto</t>
  </si>
  <si>
    <t>Professor Sergio Montenegro</t>
  </si>
  <si>
    <t>Pedido prorrogação Ofício 426 - (Ainda não foi aceito)</t>
  </si>
  <si>
    <t>Professor Sérgio/ Professora Isabel</t>
  </si>
  <si>
    <t xml:space="preserve">Marcia </t>
  </si>
  <si>
    <t>HUOC/PROCAPE</t>
  </si>
  <si>
    <t>Professor José Roberto/ Professora Eliane Dourado</t>
  </si>
  <si>
    <t>Em Execução</t>
  </si>
  <si>
    <t>Prof. Diogínes/Melkzedec</t>
  </si>
  <si>
    <t>Profa Eliane Dourado/ Professor José Roberto</t>
  </si>
  <si>
    <t>Obras Radioterapia</t>
  </si>
  <si>
    <t xml:space="preserve">Refeitório </t>
  </si>
  <si>
    <t xml:space="preserve"> Formação de Profissionais do Magistério</t>
  </si>
  <si>
    <t>PAFOR</t>
  </si>
  <si>
    <t xml:space="preserve">Construção de Salas de Aula e Laboratórios </t>
  </si>
  <si>
    <t xml:space="preserve"> UPE-Garanhuns</t>
  </si>
  <si>
    <t>UPE- Garanhuns</t>
  </si>
  <si>
    <t xml:space="preserve">PAFOR  </t>
  </si>
  <si>
    <t xml:space="preserve"> </t>
  </si>
  <si>
    <t>Convenio rescindido conforme nota tecnica 144/2016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</si>
</sst>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[Red]\-#,##0.00\ "/>
  </numFmts>
  <fonts count="25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b/>
      <sz val="12"/>
      <color theme="1"/>
      <name val="Arial"/>
      <family val="2"/>
    </font>
    <font>
      <sz val="15"/>
      <color theme="1"/>
      <name val="Arial"/>
      <family val="2"/>
    </font>
    <font>
      <b/>
      <sz val="13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46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2" fillId="2" borderId="1" xfId="0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4" fontId="0" fillId="0" borderId="0" xfId="0" applyNumberFormat="1"/>
    <xf numFmtId="0" fontId="18" fillId="3" borderId="1" xfId="0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18" fillId="3" borderId="2" xfId="0" applyNumberFormat="1" applyFont="1" applyFill="1" applyBorder="1" applyAlignment="1">
      <alignment horizontal="center" vertical="center"/>
    </xf>
    <xf numFmtId="3" fontId="16" fillId="3" borderId="2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4" fontId="2" fillId="3" borderId="2" xfId="1" applyNumberFormat="1" applyFont="1" applyFill="1" applyBorder="1" applyAlignment="1">
      <alignment vertical="center" wrapText="1"/>
    </xf>
    <xf numFmtId="49" fontId="18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vertical="center" wrapText="1"/>
    </xf>
    <xf numFmtId="49" fontId="18" fillId="4" borderId="3" xfId="0" applyNumberFormat="1" applyFont="1" applyFill="1" applyBorder="1" applyAlignment="1">
      <alignment horizontal="center" vertical="center"/>
    </xf>
    <xf numFmtId="3" fontId="16" fillId="4" borderId="3" xfId="0" applyNumberFormat="1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4" fontId="2" fillId="4" borderId="3" xfId="1" applyNumberFormat="1" applyFont="1" applyFill="1" applyBorder="1" applyAlignment="1">
      <alignment vertical="center" wrapText="1"/>
    </xf>
    <xf numFmtId="164" fontId="2" fillId="3" borderId="1" xfId="1" applyNumberFormat="1" applyFont="1" applyFill="1" applyBorder="1" applyAlignment="1">
      <alignment vertical="center" wrapText="1"/>
    </xf>
    <xf numFmtId="164" fontId="13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/>
    <xf numFmtId="164" fontId="1" fillId="3" borderId="1" xfId="1" applyNumberFormat="1" applyFont="1" applyFill="1" applyBorder="1" applyAlignment="1">
      <alignment vertical="center" wrapText="1"/>
    </xf>
    <xf numFmtId="164" fontId="1" fillId="3" borderId="2" xfId="1" applyNumberFormat="1" applyFont="1" applyFill="1" applyBorder="1" applyAlignment="1">
      <alignment vertical="center" wrapText="1"/>
    </xf>
    <xf numFmtId="164" fontId="1" fillId="4" borderId="3" xfId="1" applyNumberFormat="1" applyFont="1" applyFill="1" applyBorder="1" applyAlignment="1">
      <alignment vertical="center" wrapText="1"/>
    </xf>
    <xf numFmtId="164" fontId="1" fillId="2" borderId="3" xfId="1" applyNumberFormat="1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center" wrapText="1"/>
    </xf>
    <xf numFmtId="4" fontId="6" fillId="3" borderId="1" xfId="1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left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49" fontId="18" fillId="3" borderId="2" xfId="0" applyNumberFormat="1" applyFont="1" applyFill="1" applyBorder="1" applyAlignment="1">
      <alignment horizontal="center" vertical="center" wrapText="1"/>
    </xf>
    <xf numFmtId="49" fontId="18" fillId="4" borderId="3" xfId="0" applyNumberFormat="1" applyFont="1" applyFill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left" vertical="center" wrapText="1"/>
    </xf>
    <xf numFmtId="4" fontId="13" fillId="0" borderId="4" xfId="0" applyNumberFormat="1" applyFont="1" applyFill="1" applyBorder="1" applyAlignment="1">
      <alignment horizontal="right" vertical="center"/>
    </xf>
    <xf numFmtId="4" fontId="13" fillId="0" borderId="4" xfId="1" applyNumberFormat="1" applyFont="1" applyFill="1" applyBorder="1" applyAlignment="1">
      <alignment horizontal="right" vertical="center"/>
    </xf>
    <xf numFmtId="4" fontId="2" fillId="0" borderId="4" xfId="1" applyNumberFormat="1" applyFont="1" applyFill="1" applyBorder="1" applyAlignment="1">
      <alignment vertical="center" wrapText="1"/>
    </xf>
    <xf numFmtId="164" fontId="2" fillId="0" borderId="4" xfId="1" applyNumberFormat="1" applyFont="1" applyFill="1" applyBorder="1" applyAlignment="1">
      <alignment vertical="center" wrapText="1"/>
    </xf>
    <xf numFmtId="164" fontId="1" fillId="0" borderId="4" xfId="1" applyNumberFormat="1" applyFont="1" applyFill="1" applyBorder="1" applyAlignment="1">
      <alignment vertical="center" wrapText="1"/>
    </xf>
    <xf numFmtId="0" fontId="0" fillId="0" borderId="0" xfId="0" applyFill="1"/>
    <xf numFmtId="0" fontId="6" fillId="0" borderId="4" xfId="0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4" fontId="1" fillId="0" borderId="4" xfId="1" applyNumberFormat="1" applyFont="1" applyFill="1" applyBorder="1" applyAlignment="1">
      <alignment horizontal="right" vertical="center" wrapText="1"/>
    </xf>
    <xf numFmtId="49" fontId="18" fillId="0" borderId="5" xfId="0" applyNumberFormat="1" applyFont="1" applyFill="1" applyBorder="1" applyAlignment="1">
      <alignment horizontal="center" vertical="center"/>
    </xf>
    <xf numFmtId="4" fontId="1" fillId="0" borderId="4" xfId="1" applyNumberFormat="1" applyFont="1" applyFill="1" applyBorder="1" applyAlignment="1">
      <alignment vertical="center" wrapText="1"/>
    </xf>
    <xf numFmtId="164" fontId="1" fillId="0" borderId="5" xfId="1" applyNumberFormat="1" applyFont="1" applyFill="1" applyBorder="1" applyAlignment="1">
      <alignment vertical="center" wrapText="1"/>
    </xf>
    <xf numFmtId="49" fontId="18" fillId="0" borderId="6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left" vertical="center" wrapText="1"/>
    </xf>
    <xf numFmtId="4" fontId="13" fillId="0" borderId="6" xfId="0" applyNumberFormat="1" applyFont="1" applyFill="1" applyBorder="1" applyAlignment="1">
      <alignment horizontal="right" vertical="center"/>
    </xf>
    <xf numFmtId="4" fontId="13" fillId="0" borderId="6" xfId="1" applyNumberFormat="1" applyFont="1" applyFill="1" applyBorder="1" applyAlignment="1">
      <alignment horizontal="right" vertical="center"/>
    </xf>
    <xf numFmtId="4" fontId="2" fillId="0" borderId="6" xfId="1" applyNumberFormat="1" applyFont="1" applyFill="1" applyBorder="1" applyAlignment="1">
      <alignment vertical="center" wrapText="1"/>
    </xf>
    <xf numFmtId="164" fontId="1" fillId="0" borderId="6" xfId="1" applyNumberFormat="1" applyFont="1" applyFill="1" applyBorder="1" applyAlignment="1">
      <alignment vertical="center" wrapText="1"/>
    </xf>
    <xf numFmtId="164" fontId="2" fillId="0" borderId="5" xfId="1" applyNumberFormat="1" applyFont="1" applyFill="1" applyBorder="1" applyAlignment="1">
      <alignment vertical="center" wrapText="1"/>
    </xf>
    <xf numFmtId="4" fontId="13" fillId="0" borderId="4" xfId="1" applyNumberFormat="1" applyFont="1" applyFill="1" applyBorder="1" applyAlignment="1">
      <alignment vertical="center"/>
    </xf>
    <xf numFmtId="4" fontId="19" fillId="0" borderId="0" xfId="0" applyNumberFormat="1" applyFont="1"/>
    <xf numFmtId="4" fontId="14" fillId="0" borderId="0" xfId="0" applyNumberFormat="1" applyFont="1"/>
    <xf numFmtId="4" fontId="12" fillId="0" borderId="0" xfId="0" applyNumberFormat="1" applyFont="1"/>
    <xf numFmtId="4" fontId="0" fillId="0" borderId="0" xfId="0" applyNumberFormat="1" applyFill="1"/>
    <xf numFmtId="4" fontId="13" fillId="2" borderId="6" xfId="1" applyNumberFormat="1" applyFont="1" applyFill="1" applyBorder="1" applyAlignment="1">
      <alignment horizontal="right" vertical="center"/>
    </xf>
    <xf numFmtId="49" fontId="18" fillId="2" borderId="6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49" fontId="18" fillId="2" borderId="6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1" fillId="0" borderId="4" xfId="1" applyNumberFormat="1" applyFont="1" applyFill="1" applyBorder="1" applyAlignment="1">
      <alignment vertical="center" wrapText="1"/>
    </xf>
    <xf numFmtId="164" fontId="21" fillId="0" borderId="5" xfId="1" applyNumberFormat="1" applyFont="1" applyFill="1" applyBorder="1" applyAlignment="1">
      <alignment vertical="center" wrapText="1"/>
    </xf>
    <xf numFmtId="164" fontId="21" fillId="0" borderId="6" xfId="1" applyNumberFormat="1" applyFont="1" applyFill="1" applyBorder="1" applyAlignment="1">
      <alignment vertical="center" wrapText="1"/>
    </xf>
    <xf numFmtId="164" fontId="1" fillId="2" borderId="4" xfId="1" applyNumberFormat="1" applyFont="1" applyFill="1" applyBorder="1" applyAlignment="1">
      <alignment vertical="center" wrapText="1"/>
    </xf>
    <xf numFmtId="3" fontId="2" fillId="6" borderId="4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 wrapText="1"/>
    </xf>
    <xf numFmtId="164" fontId="1" fillId="2" borderId="6" xfId="1" applyNumberFormat="1" applyFont="1" applyFill="1" applyBorder="1" applyAlignment="1">
      <alignment vertical="center" wrapText="1"/>
    </xf>
    <xf numFmtId="164" fontId="1" fillId="2" borderId="7" xfId="1" applyNumberFormat="1" applyFont="1" applyFill="1" applyBorder="1" applyAlignment="1">
      <alignment vertical="center" wrapText="1"/>
    </xf>
    <xf numFmtId="164" fontId="1" fillId="0" borderId="7" xfId="1" applyNumberFormat="1" applyFont="1" applyFill="1" applyBorder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3" fontId="2" fillId="5" borderId="6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3" fontId="2" fillId="7" borderId="5" xfId="0" applyNumberFormat="1" applyFont="1" applyFill="1" applyBorder="1" applyAlignment="1">
      <alignment horizontal="center" vertical="center"/>
    </xf>
    <xf numFmtId="3" fontId="16" fillId="7" borderId="6" xfId="0" applyNumberFormat="1" applyFont="1" applyFill="1" applyBorder="1" applyAlignment="1">
      <alignment horizontal="center" vertical="center"/>
    </xf>
    <xf numFmtId="3" fontId="2" fillId="7" borderId="6" xfId="0" applyNumberFormat="1" applyFont="1" applyFill="1" applyBorder="1" applyAlignment="1">
      <alignment horizontal="center" vertical="center"/>
    </xf>
    <xf numFmtId="3" fontId="2" fillId="7" borderId="4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right" vertical="center" wrapText="1"/>
    </xf>
    <xf numFmtId="4" fontId="2" fillId="2" borderId="8" xfId="0" applyNumberFormat="1" applyFont="1" applyFill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164" fontId="19" fillId="0" borderId="0" xfId="0" applyNumberFormat="1" applyFont="1"/>
    <xf numFmtId="164" fontId="19" fillId="0" borderId="0" xfId="0" applyNumberFormat="1" applyFont="1" applyAlignment="1">
      <alignment vertical="center"/>
    </xf>
    <xf numFmtId="164" fontId="14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right" vertical="center"/>
    </xf>
    <xf numFmtId="164" fontId="2" fillId="0" borderId="6" xfId="1" applyNumberFormat="1" applyFont="1" applyFill="1" applyBorder="1" applyAlignment="1">
      <alignment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2" fillId="3" borderId="2" xfId="1" applyNumberFormat="1" applyFont="1" applyFill="1" applyBorder="1" applyAlignment="1">
      <alignment vertical="center" wrapText="1"/>
    </xf>
    <xf numFmtId="164" fontId="2" fillId="4" borderId="3" xfId="1" applyNumberFormat="1" applyFont="1" applyFill="1" applyBorder="1" applyAlignment="1">
      <alignment vertical="center" wrapText="1"/>
    </xf>
    <xf numFmtId="164" fontId="2" fillId="2" borderId="3" xfId="1" applyNumberFormat="1" applyFont="1" applyFill="1" applyBorder="1" applyAlignment="1">
      <alignment vertical="center" wrapText="1"/>
    </xf>
    <xf numFmtId="4" fontId="1" fillId="4" borderId="4" xfId="1" applyNumberFormat="1" applyFont="1" applyFill="1" applyBorder="1" applyAlignment="1">
      <alignment vertical="center" wrapText="1"/>
    </xf>
    <xf numFmtId="4" fontId="1" fillId="4" borderId="4" xfId="0" applyNumberFormat="1" applyFont="1" applyFill="1" applyBorder="1" applyAlignment="1">
      <alignment horizontal="right" vertical="center" wrapText="1"/>
    </xf>
    <xf numFmtId="4" fontId="13" fillId="2" borderId="4" xfId="1" applyNumberFormat="1" applyFont="1" applyFill="1" applyBorder="1" applyAlignment="1">
      <alignment horizontal="right" vertical="center"/>
    </xf>
    <xf numFmtId="4" fontId="13" fillId="2" borderId="4" xfId="1" applyNumberFormat="1" applyFont="1" applyFill="1" applyBorder="1" applyAlignment="1">
      <alignment vertical="center"/>
    </xf>
    <xf numFmtId="4" fontId="1" fillId="2" borderId="4" xfId="0" applyNumberFormat="1" applyFont="1" applyFill="1" applyBorder="1" applyAlignment="1">
      <alignment horizontal="right" vertical="center" wrapText="1"/>
    </xf>
    <xf numFmtId="4" fontId="1" fillId="2" borderId="4" xfId="1" applyNumberFormat="1" applyFont="1" applyFill="1" applyBorder="1" applyAlignment="1">
      <alignment vertical="center" wrapText="1"/>
    </xf>
    <xf numFmtId="49" fontId="18" fillId="2" borderId="2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vertical="center"/>
    </xf>
    <xf numFmtId="164" fontId="13" fillId="0" borderId="4" xfId="0" applyNumberFormat="1" applyFont="1" applyFill="1" applyBorder="1" applyAlignment="1">
      <alignment vertical="center"/>
    </xf>
    <xf numFmtId="49" fontId="18" fillId="2" borderId="4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4" fontId="1" fillId="0" borderId="6" xfId="1" applyNumberFormat="1" applyFont="1" applyFill="1" applyBorder="1" applyAlignment="1">
      <alignment vertical="center" wrapText="1"/>
    </xf>
    <xf numFmtId="49" fontId="18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4" fontId="2" fillId="0" borderId="4" xfId="1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Alignment="1">
      <alignment horizontal="center" vertical="center"/>
    </xf>
    <xf numFmtId="164" fontId="1" fillId="3" borderId="9" xfId="1" applyNumberFormat="1" applyFont="1" applyFill="1" applyBorder="1" applyAlignment="1">
      <alignment vertical="center" wrapText="1"/>
    </xf>
    <xf numFmtId="3" fontId="2" fillId="5" borderId="4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4" fontId="17" fillId="0" borderId="4" xfId="1" applyNumberFormat="1" applyFont="1" applyFill="1" applyBorder="1" applyAlignment="1">
      <alignment horizontal="right" vertical="center"/>
    </xf>
    <xf numFmtId="4" fontId="9" fillId="0" borderId="4" xfId="1" applyNumberFormat="1" applyFont="1" applyFill="1" applyBorder="1" applyAlignment="1">
      <alignment horizontal="right" vertical="center" wrapText="1"/>
    </xf>
    <xf numFmtId="4" fontId="17" fillId="0" borderId="4" xfId="0" applyNumberFormat="1" applyFont="1" applyFill="1" applyBorder="1" applyAlignment="1">
      <alignment horizontal="right" vertical="center"/>
    </xf>
    <xf numFmtId="4" fontId="10" fillId="0" borderId="4" xfId="1" applyNumberFormat="1" applyFont="1" applyFill="1" applyBorder="1" applyAlignment="1">
      <alignment horizontal="right" vertical="center" wrapText="1"/>
    </xf>
    <xf numFmtId="4" fontId="10" fillId="0" borderId="4" xfId="0" applyNumberFormat="1" applyFont="1" applyFill="1" applyBorder="1" applyAlignment="1">
      <alignment horizontal="right" vertical="center" wrapText="1"/>
    </xf>
    <xf numFmtId="4" fontId="10" fillId="0" borderId="6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49" fontId="22" fillId="2" borderId="6" xfId="0" applyNumberFormat="1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 wrapText="1"/>
    </xf>
    <xf numFmtId="0" fontId="15" fillId="6" borderId="0" xfId="0" applyFont="1" applyFill="1" applyAlignment="1">
      <alignment horizontal="left" vertical="center" wrapText="1"/>
    </xf>
    <xf numFmtId="0" fontId="15" fillId="7" borderId="0" xfId="0" applyFont="1" applyFill="1" applyAlignment="1">
      <alignment horizontal="left" vertical="center" wrapText="1"/>
    </xf>
    <xf numFmtId="3" fontId="16" fillId="2" borderId="1" xfId="0" applyNumberFormat="1" applyFont="1" applyFill="1" applyBorder="1" applyAlignment="1">
      <alignment vertical="center"/>
    </xf>
    <xf numFmtId="3" fontId="2" fillId="7" borderId="4" xfId="0" applyNumberFormat="1" applyFont="1" applyFill="1" applyBorder="1" applyAlignment="1">
      <alignment vertical="center"/>
    </xf>
    <xf numFmtId="3" fontId="2" fillId="7" borderId="5" xfId="0" applyNumberFormat="1" applyFont="1" applyFill="1" applyBorder="1" applyAlignment="1">
      <alignment vertical="center"/>
    </xf>
    <xf numFmtId="3" fontId="16" fillId="7" borderId="6" xfId="0" applyNumberFormat="1" applyFont="1" applyFill="1" applyBorder="1" applyAlignment="1">
      <alignment vertical="center"/>
    </xf>
    <xf numFmtId="3" fontId="2" fillId="7" borderId="6" xfId="0" applyNumberFormat="1" applyFont="1" applyFill="1" applyBorder="1" applyAlignment="1">
      <alignment vertical="center"/>
    </xf>
    <xf numFmtId="3" fontId="16" fillId="3" borderId="1" xfId="0" applyNumberFormat="1" applyFont="1" applyFill="1" applyBorder="1" applyAlignment="1">
      <alignment vertical="center"/>
    </xf>
    <xf numFmtId="3" fontId="16" fillId="7" borderId="4" xfId="0" applyNumberFormat="1" applyFont="1" applyFill="1" applyBorder="1" applyAlignment="1">
      <alignment vertical="center"/>
    </xf>
    <xf numFmtId="3" fontId="16" fillId="5" borderId="6" xfId="0" applyNumberFormat="1" applyFont="1" applyFill="1" applyBorder="1" applyAlignment="1">
      <alignment vertical="center"/>
    </xf>
    <xf numFmtId="3" fontId="2" fillId="5" borderId="4" xfId="0" applyNumberFormat="1" applyFont="1" applyFill="1" applyBorder="1" applyAlignment="1">
      <alignment vertical="center"/>
    </xf>
    <xf numFmtId="3" fontId="2" fillId="5" borderId="6" xfId="0" applyNumberFormat="1" applyFont="1" applyFill="1" applyBorder="1" applyAlignment="1">
      <alignment vertical="center"/>
    </xf>
    <xf numFmtId="3" fontId="2" fillId="6" borderId="6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8" borderId="4" xfId="0" applyNumberFormat="1" applyFont="1" applyFill="1" applyBorder="1" applyAlignment="1">
      <alignment vertical="center"/>
    </xf>
    <xf numFmtId="3" fontId="2" fillId="5" borderId="1" xfId="0" applyNumberFormat="1" applyFont="1" applyFill="1" applyBorder="1" applyAlignment="1">
      <alignment vertical="center"/>
    </xf>
    <xf numFmtId="3" fontId="16" fillId="2" borderId="1" xfId="0" applyNumberFormat="1" applyFont="1" applyFill="1" applyBorder="1" applyAlignment="1">
      <alignment vertical="center" wrapText="1"/>
    </xf>
    <xf numFmtId="14" fontId="2" fillId="7" borderId="16" xfId="0" applyNumberFormat="1" applyFont="1" applyFill="1" applyBorder="1" applyAlignment="1">
      <alignment horizontal="center" vertical="center" wrapText="1"/>
    </xf>
    <xf numFmtId="14" fontId="2" fillId="7" borderId="17" xfId="0" applyNumberFormat="1" applyFont="1" applyFill="1" applyBorder="1" applyAlignment="1">
      <alignment horizontal="center" vertical="center" wrapText="1"/>
    </xf>
    <xf numFmtId="14" fontId="2" fillId="7" borderId="18" xfId="0" applyNumberFormat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left" vertical="center" wrapText="1"/>
    </xf>
    <xf numFmtId="164" fontId="21" fillId="0" borderId="0" xfId="1" applyNumberFormat="1" applyFont="1" applyFill="1" applyBorder="1" applyAlignment="1">
      <alignment vertical="center" wrapText="1"/>
    </xf>
    <xf numFmtId="14" fontId="2" fillId="7" borderId="16" xfId="0" applyNumberFormat="1" applyFont="1" applyFill="1" applyBorder="1" applyAlignment="1">
      <alignment horizontal="center" vertical="center" wrapText="1"/>
    </xf>
    <xf numFmtId="14" fontId="2" fillId="7" borderId="17" xfId="0" applyNumberFormat="1" applyFont="1" applyFill="1" applyBorder="1" applyAlignment="1">
      <alignment horizontal="center" vertical="center" wrapText="1"/>
    </xf>
    <xf numFmtId="14" fontId="2" fillId="7" borderId="18" xfId="0" applyNumberFormat="1" applyFont="1" applyFill="1" applyBorder="1" applyAlignment="1">
      <alignment horizontal="center" vertical="center" wrapText="1"/>
    </xf>
    <xf numFmtId="14" fontId="2" fillId="7" borderId="16" xfId="0" applyNumberFormat="1" applyFont="1" applyFill="1" applyBorder="1" applyAlignment="1">
      <alignment horizontal="center" vertical="center" wrapText="1"/>
    </xf>
    <xf numFmtId="14" fontId="2" fillId="7" borderId="17" xfId="0" applyNumberFormat="1" applyFont="1" applyFill="1" applyBorder="1" applyAlignment="1">
      <alignment horizontal="center" vertical="center" wrapText="1"/>
    </xf>
    <xf numFmtId="14" fontId="2" fillId="7" borderId="18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left" vertical="center" wrapText="1"/>
    </xf>
    <xf numFmtId="14" fontId="2" fillId="7" borderId="16" xfId="0" applyNumberFormat="1" applyFont="1" applyFill="1" applyBorder="1" applyAlignment="1">
      <alignment horizontal="center" vertical="center" wrapText="1"/>
    </xf>
    <xf numFmtId="14" fontId="2" fillId="7" borderId="17" xfId="0" applyNumberFormat="1" applyFont="1" applyFill="1" applyBorder="1" applyAlignment="1">
      <alignment horizontal="center" vertical="center" wrapText="1"/>
    </xf>
    <xf numFmtId="14" fontId="2" fillId="7" borderId="18" xfId="0" applyNumberFormat="1" applyFont="1" applyFill="1" applyBorder="1" applyAlignment="1">
      <alignment horizontal="center" vertical="center" wrapText="1"/>
    </xf>
    <xf numFmtId="0" fontId="15" fillId="6" borderId="0" xfId="0" applyFont="1" applyFill="1" applyAlignment="1">
      <alignment horizontal="left" vertical="center" wrapText="1"/>
    </xf>
    <xf numFmtId="0" fontId="15" fillId="7" borderId="0" xfId="0" applyFont="1" applyFill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164" fontId="1" fillId="0" borderId="25" xfId="1" applyNumberFormat="1" applyFont="1" applyFill="1" applyBorder="1" applyAlignment="1">
      <alignment vertical="center" wrapText="1"/>
    </xf>
    <xf numFmtId="0" fontId="20" fillId="3" borderId="5" xfId="0" applyFont="1" applyFill="1" applyBorder="1" applyAlignment="1">
      <alignment horizontal="left" vertical="center" wrapText="1"/>
    </xf>
    <xf numFmtId="164" fontId="1" fillId="3" borderId="5" xfId="1" applyNumberFormat="1" applyFont="1" applyFill="1" applyBorder="1" applyAlignment="1">
      <alignment vertical="center" wrapText="1"/>
    </xf>
    <xf numFmtId="164" fontId="21" fillId="0" borderId="23" xfId="1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14" fontId="2" fillId="7" borderId="31" xfId="0" applyNumberFormat="1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14" fontId="2" fillId="7" borderId="23" xfId="0" applyNumberFormat="1" applyFont="1" applyFill="1" applyBorder="1" applyAlignment="1">
      <alignment horizontal="center" vertical="center" wrapText="1"/>
    </xf>
    <xf numFmtId="164" fontId="21" fillId="0" borderId="32" xfId="1" applyNumberFormat="1" applyFont="1" applyFill="1" applyBorder="1" applyAlignment="1">
      <alignment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 wrapText="1"/>
    </xf>
    <xf numFmtId="164" fontId="21" fillId="0" borderId="25" xfId="1" applyNumberFormat="1" applyFont="1" applyFill="1" applyBorder="1" applyAlignment="1">
      <alignment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164" fontId="21" fillId="0" borderId="33" xfId="1" applyNumberFormat="1" applyFont="1" applyFill="1" applyBorder="1" applyAlignment="1">
      <alignment vertical="center" wrapText="1"/>
    </xf>
    <xf numFmtId="3" fontId="16" fillId="3" borderId="5" xfId="0" applyNumberFormat="1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 wrapText="1"/>
    </xf>
    <xf numFmtId="14" fontId="16" fillId="5" borderId="31" xfId="0" applyNumberFormat="1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horizontal="left" vertical="center" wrapText="1"/>
    </xf>
    <xf numFmtId="164" fontId="13" fillId="5" borderId="5" xfId="1" applyNumberFormat="1" applyFont="1" applyFill="1" applyBorder="1" applyAlignment="1">
      <alignment vertical="center" wrapText="1"/>
    </xf>
    <xf numFmtId="49" fontId="18" fillId="5" borderId="5" xfId="0" applyNumberFormat="1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164" fontId="16" fillId="5" borderId="4" xfId="1" applyNumberFormat="1" applyFont="1" applyFill="1" applyBorder="1" applyAlignment="1">
      <alignment vertical="center" wrapText="1"/>
    </xf>
    <xf numFmtId="4" fontId="13" fillId="5" borderId="4" xfId="0" applyNumberFormat="1" applyFont="1" applyFill="1" applyBorder="1" applyAlignment="1">
      <alignment horizontal="right" vertical="center"/>
    </xf>
    <xf numFmtId="4" fontId="13" fillId="5" borderId="4" xfId="1" applyNumberFormat="1" applyFont="1" applyFill="1" applyBorder="1" applyAlignment="1">
      <alignment vertical="center" wrapText="1"/>
    </xf>
    <xf numFmtId="4" fontId="16" fillId="5" borderId="4" xfId="1" applyNumberFormat="1" applyFont="1" applyFill="1" applyBorder="1" applyAlignment="1">
      <alignment vertical="center" wrapText="1"/>
    </xf>
    <xf numFmtId="164" fontId="13" fillId="0" borderId="4" xfId="1" applyNumberFormat="1" applyFont="1" applyFill="1" applyBorder="1" applyAlignment="1">
      <alignment vertical="center" wrapText="1"/>
    </xf>
    <xf numFmtId="0" fontId="18" fillId="9" borderId="4" xfId="0" applyFont="1" applyFill="1" applyBorder="1" applyAlignment="1">
      <alignment horizontal="center" vertical="center" wrapText="1"/>
    </xf>
    <xf numFmtId="14" fontId="16" fillId="9" borderId="31" xfId="0" applyNumberFormat="1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left" vertical="center" wrapText="1"/>
    </xf>
    <xf numFmtId="164" fontId="13" fillId="9" borderId="4" xfId="1" applyNumberFormat="1" applyFont="1" applyFill="1" applyBorder="1" applyAlignment="1">
      <alignment vertical="center" wrapText="1"/>
    </xf>
    <xf numFmtId="49" fontId="18" fillId="9" borderId="4" xfId="0" applyNumberFormat="1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 wrapText="1"/>
    </xf>
    <xf numFmtId="164" fontId="16" fillId="9" borderId="5" xfId="1" applyNumberFormat="1" applyFont="1" applyFill="1" applyBorder="1" applyAlignment="1">
      <alignment vertical="center" wrapText="1"/>
    </xf>
    <xf numFmtId="4" fontId="13" fillId="9" borderId="4" xfId="1" applyNumberFormat="1" applyFont="1" applyFill="1" applyBorder="1" applyAlignment="1">
      <alignment vertical="center" wrapText="1"/>
    </xf>
    <xf numFmtId="4" fontId="13" fillId="9" borderId="6" xfId="0" applyNumberFormat="1" applyFont="1" applyFill="1" applyBorder="1" applyAlignment="1">
      <alignment horizontal="right" vertical="center" wrapText="1"/>
    </xf>
    <xf numFmtId="4" fontId="16" fillId="9" borderId="4" xfId="1" applyNumberFormat="1" applyFont="1" applyFill="1" applyBorder="1" applyAlignment="1">
      <alignment vertical="center" wrapText="1"/>
    </xf>
    <xf numFmtId="4" fontId="13" fillId="9" borderId="4" xfId="0" applyNumberFormat="1" applyFont="1" applyFill="1" applyBorder="1" applyAlignment="1">
      <alignment horizontal="right" vertical="center" wrapText="1"/>
    </xf>
    <xf numFmtId="0" fontId="20" fillId="0" borderId="5" xfId="0" applyFont="1" applyFill="1" applyBorder="1" applyAlignment="1">
      <alignment horizontal="left" vertical="center" wrapText="1"/>
    </xf>
    <xf numFmtId="14" fontId="2" fillId="7" borderId="16" xfId="0" applyNumberFormat="1" applyFont="1" applyFill="1" applyBorder="1" applyAlignment="1">
      <alignment horizontal="center" vertical="center" wrapText="1"/>
    </xf>
    <xf numFmtId="14" fontId="2" fillId="7" borderId="17" xfId="0" applyNumberFormat="1" applyFont="1" applyFill="1" applyBorder="1" applyAlignment="1">
      <alignment horizontal="center" vertical="center" wrapText="1"/>
    </xf>
    <xf numFmtId="14" fontId="2" fillId="7" borderId="18" xfId="0" applyNumberFormat="1" applyFont="1" applyFill="1" applyBorder="1" applyAlignment="1">
      <alignment horizontal="center" vertical="center" wrapText="1"/>
    </xf>
    <xf numFmtId="14" fontId="2" fillId="7" borderId="27" xfId="0" applyNumberFormat="1" applyFont="1" applyFill="1" applyBorder="1" applyAlignment="1">
      <alignment horizontal="center" vertical="center" wrapText="1"/>
    </xf>
    <xf numFmtId="14" fontId="2" fillId="7" borderId="34" xfId="0" applyNumberFormat="1" applyFont="1" applyFill="1" applyBorder="1" applyAlignment="1">
      <alignment horizontal="center" vertical="center" wrapText="1"/>
    </xf>
    <xf numFmtId="14" fontId="2" fillId="7" borderId="28" xfId="0" applyNumberFormat="1" applyFont="1" applyFill="1" applyBorder="1" applyAlignment="1">
      <alignment horizontal="center" vertical="center" wrapText="1"/>
    </xf>
    <xf numFmtId="0" fontId="18" fillId="2" borderId="4" xfId="0" quotePrefix="1" applyFont="1" applyFill="1" applyBorder="1" applyAlignment="1">
      <alignment horizontal="center" vertical="center" wrapText="1"/>
    </xf>
    <xf numFmtId="0" fontId="20" fillId="10" borderId="14" xfId="0" applyFont="1" applyFill="1" applyBorder="1" applyAlignment="1">
      <alignment horizontal="left" vertical="center" wrapText="1"/>
    </xf>
    <xf numFmtId="0" fontId="20" fillId="10" borderId="1" xfId="0" applyFont="1" applyFill="1" applyBorder="1" applyAlignment="1">
      <alignment horizontal="left" vertical="center" wrapText="1"/>
    </xf>
    <xf numFmtId="164" fontId="1" fillId="10" borderId="1" xfId="1" applyNumberFormat="1" applyFont="1" applyFill="1" applyBorder="1" applyAlignment="1">
      <alignment vertical="center" wrapText="1"/>
    </xf>
    <xf numFmtId="49" fontId="18" fillId="10" borderId="1" xfId="0" applyNumberFormat="1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 wrapText="1"/>
    </xf>
    <xf numFmtId="4" fontId="2" fillId="10" borderId="1" xfId="1" applyNumberFormat="1" applyFont="1" applyFill="1" applyBorder="1" applyAlignment="1">
      <alignment vertical="center" wrapText="1"/>
    </xf>
    <xf numFmtId="14" fontId="2" fillId="10" borderId="1" xfId="0" applyNumberFormat="1" applyFont="1" applyFill="1" applyBorder="1" applyAlignment="1">
      <alignment horizontal="center" vertical="center" wrapText="1"/>
    </xf>
    <xf numFmtId="4" fontId="6" fillId="10" borderId="14" xfId="1" applyNumberFormat="1" applyFont="1" applyFill="1" applyBorder="1" applyAlignment="1">
      <alignment horizontal="left" vertical="center" wrapText="1"/>
    </xf>
    <xf numFmtId="4" fontId="6" fillId="10" borderId="1" xfId="1" applyNumberFormat="1" applyFont="1" applyFill="1" applyBorder="1" applyAlignment="1">
      <alignment horizontal="left" vertical="center" wrapText="1"/>
    </xf>
    <xf numFmtId="4" fontId="2" fillId="10" borderId="1" xfId="1" applyNumberFormat="1" applyFont="1" applyFill="1" applyBorder="1" applyAlignment="1">
      <alignment horizontal="center" vertical="center" wrapText="1"/>
    </xf>
    <xf numFmtId="164" fontId="2" fillId="10" borderId="1" xfId="1" applyNumberFormat="1" applyFont="1" applyFill="1" applyBorder="1" applyAlignment="1">
      <alignment vertical="center" wrapText="1"/>
    </xf>
    <xf numFmtId="14" fontId="20" fillId="0" borderId="4" xfId="0" applyNumberFormat="1" applyFont="1" applyFill="1" applyBorder="1" applyAlignment="1">
      <alignment horizontal="left" vertical="center" wrapText="1"/>
    </xf>
    <xf numFmtId="164" fontId="1" fillId="0" borderId="27" xfId="1" applyNumberFormat="1" applyFont="1" applyFill="1" applyBorder="1" applyAlignment="1">
      <alignment vertical="center" wrapText="1"/>
    </xf>
    <xf numFmtId="164" fontId="1" fillId="0" borderId="26" xfId="1" applyNumberFormat="1" applyFont="1" applyFill="1" applyBorder="1" applyAlignment="1">
      <alignment vertical="center" wrapText="1"/>
    </xf>
    <xf numFmtId="164" fontId="1" fillId="0" borderId="23" xfId="1" applyNumberFormat="1" applyFont="1" applyFill="1" applyBorder="1" applyAlignment="1">
      <alignment vertical="center" wrapText="1"/>
    </xf>
    <xf numFmtId="14" fontId="1" fillId="0" borderId="0" xfId="1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164" fontId="13" fillId="0" borderId="5" xfId="1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wrapText="1"/>
    </xf>
    <xf numFmtId="164" fontId="13" fillId="2" borderId="4" xfId="1" applyNumberFormat="1" applyFont="1" applyFill="1" applyBorder="1" applyAlignment="1">
      <alignment vertical="center" wrapText="1"/>
    </xf>
    <xf numFmtId="164" fontId="13" fillId="0" borderId="6" xfId="1" applyNumberFormat="1" applyFont="1" applyFill="1" applyBorder="1" applyAlignment="1">
      <alignment vertical="center" wrapText="1"/>
    </xf>
    <xf numFmtId="164" fontId="13" fillId="0" borderId="27" xfId="1" applyNumberFormat="1" applyFont="1" applyFill="1" applyBorder="1" applyAlignment="1">
      <alignment vertical="center" wrapText="1"/>
    </xf>
    <xf numFmtId="164" fontId="13" fillId="0" borderId="23" xfId="1" applyNumberFormat="1" applyFont="1" applyFill="1" applyBorder="1" applyAlignment="1">
      <alignment vertical="center" wrapText="1"/>
    </xf>
    <xf numFmtId="164" fontId="13" fillId="0" borderId="26" xfId="1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3" fillId="9" borderId="4" xfId="0" applyFont="1" applyFill="1" applyBorder="1" applyAlignment="1">
      <alignment horizontal="left" vertical="center" wrapText="1"/>
    </xf>
    <xf numFmtId="0" fontId="13" fillId="5" borderId="5" xfId="0" applyFont="1" applyFill="1" applyBorder="1" applyAlignment="1">
      <alignment horizontal="left" vertical="center" wrapText="1"/>
    </xf>
    <xf numFmtId="0" fontId="18" fillId="10" borderId="1" xfId="0" applyFont="1" applyFill="1" applyBorder="1" applyAlignment="1">
      <alignment horizontal="center" vertical="center" wrapText="1"/>
    </xf>
    <xf numFmtId="4" fontId="0" fillId="10" borderId="0" xfId="0" applyNumberFormat="1" applyFill="1"/>
    <xf numFmtId="0" fontId="0" fillId="10" borderId="0" xfId="0" applyFill="1"/>
    <xf numFmtId="49" fontId="18" fillId="10" borderId="1" xfId="0" applyNumberFormat="1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4" fontId="2" fillId="7" borderId="16" xfId="0" applyNumberFormat="1" applyFont="1" applyFill="1" applyBorder="1" applyAlignment="1">
      <alignment horizontal="center" vertical="center" wrapText="1"/>
    </xf>
    <xf numFmtId="14" fontId="2" fillId="7" borderId="17" xfId="0" applyNumberFormat="1" applyFont="1" applyFill="1" applyBorder="1" applyAlignment="1">
      <alignment horizontal="center" vertical="center" wrapText="1"/>
    </xf>
    <xf numFmtId="14" fontId="2" fillId="7" borderId="12" xfId="0" applyNumberFormat="1" applyFont="1" applyFill="1" applyBorder="1" applyAlignment="1">
      <alignment horizontal="center" vertical="center" wrapText="1"/>
    </xf>
    <xf numFmtId="14" fontId="2" fillId="7" borderId="13" xfId="0" applyNumberFormat="1" applyFont="1" applyFill="1" applyBorder="1" applyAlignment="1">
      <alignment horizontal="center" vertical="center" wrapText="1"/>
    </xf>
    <xf numFmtId="0" fontId="15" fillId="6" borderId="0" xfId="0" applyFont="1" applyFill="1" applyAlignment="1">
      <alignment horizontal="left" vertical="center" wrapText="1"/>
    </xf>
    <xf numFmtId="0" fontId="15" fillId="7" borderId="0" xfId="0" applyFont="1" applyFill="1" applyAlignment="1">
      <alignment horizontal="left" vertical="center" wrapText="1"/>
    </xf>
    <xf numFmtId="14" fontId="2" fillId="7" borderId="18" xfId="0" applyNumberFormat="1" applyFont="1" applyFill="1" applyBorder="1" applyAlignment="1">
      <alignment horizontal="center" vertical="center" wrapText="1"/>
    </xf>
    <xf numFmtId="14" fontId="2" fillId="10" borderId="16" xfId="0" applyNumberFormat="1" applyFont="1" applyFill="1" applyBorder="1" applyAlignment="1">
      <alignment horizontal="center" vertical="center" wrapText="1"/>
    </xf>
    <xf numFmtId="14" fontId="2" fillId="10" borderId="17" xfId="0" applyNumberFormat="1" applyFont="1" applyFill="1" applyBorder="1" applyAlignment="1">
      <alignment horizontal="center" vertical="center" wrapText="1"/>
    </xf>
    <xf numFmtId="14" fontId="2" fillId="10" borderId="18" xfId="0" applyNumberFormat="1" applyFont="1" applyFill="1" applyBorder="1" applyAlignment="1">
      <alignment horizontal="center" vertical="center" wrapText="1"/>
    </xf>
    <xf numFmtId="14" fontId="2" fillId="7" borderId="35" xfId="0" applyNumberFormat="1" applyFont="1" applyFill="1" applyBorder="1" applyAlignment="1">
      <alignment horizontal="center" vertical="center" wrapText="1"/>
    </xf>
    <xf numFmtId="14" fontId="16" fillId="9" borderId="16" xfId="0" applyNumberFormat="1" applyFont="1" applyFill="1" applyBorder="1" applyAlignment="1">
      <alignment horizontal="center" vertical="center" wrapText="1"/>
    </xf>
    <xf numFmtId="14" fontId="16" fillId="9" borderId="17" xfId="0" applyNumberFormat="1" applyFont="1" applyFill="1" applyBorder="1" applyAlignment="1">
      <alignment horizontal="center" vertical="center" wrapText="1"/>
    </xf>
    <xf numFmtId="14" fontId="16" fillId="9" borderId="18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49" fontId="16" fillId="2" borderId="11" xfId="0" applyNumberFormat="1" applyFont="1" applyFill="1" applyBorder="1" applyAlignment="1">
      <alignment horizontal="center" vertical="center"/>
    </xf>
    <xf numFmtId="49" fontId="16" fillId="2" borderId="7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3" fontId="16" fillId="2" borderId="11" xfId="0" applyNumberFormat="1" applyFont="1" applyFill="1" applyBorder="1" applyAlignment="1">
      <alignment horizontal="center" vertical="center"/>
    </xf>
    <xf numFmtId="3" fontId="16" fillId="2" borderId="7" xfId="0" applyNumberFormat="1" applyFont="1" applyFill="1" applyBorder="1" applyAlignment="1">
      <alignment horizontal="center" vertical="center"/>
    </xf>
    <xf numFmtId="3" fontId="16" fillId="2" borderId="9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 wrapText="1"/>
    </xf>
    <xf numFmtId="14" fontId="2" fillId="7" borderId="14" xfId="0" applyNumberFormat="1" applyFont="1" applyFill="1" applyBorder="1" applyAlignment="1">
      <alignment horizontal="center" vertical="center" wrapText="1"/>
    </xf>
    <xf numFmtId="14" fontId="16" fillId="5" borderId="16" xfId="0" applyNumberFormat="1" applyFont="1" applyFill="1" applyBorder="1" applyAlignment="1">
      <alignment horizontal="center" vertical="center" wrapText="1"/>
    </xf>
    <xf numFmtId="14" fontId="16" fillId="5" borderId="17" xfId="0" applyNumberFormat="1" applyFont="1" applyFill="1" applyBorder="1" applyAlignment="1">
      <alignment horizontal="center" vertical="center" wrapText="1"/>
    </xf>
    <xf numFmtId="14" fontId="16" fillId="5" borderId="18" xfId="0" applyNumberFormat="1" applyFont="1" applyFill="1" applyBorder="1" applyAlignment="1">
      <alignment horizontal="center" vertical="center" wrapText="1"/>
    </xf>
    <xf numFmtId="3" fontId="16" fillId="2" borderId="19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16" fillId="2" borderId="20" xfId="0" applyNumberFormat="1" applyFont="1" applyFill="1" applyBorder="1" applyAlignment="1">
      <alignment horizontal="center" vertical="center"/>
    </xf>
    <xf numFmtId="3" fontId="16" fillId="2" borderId="21" xfId="0" applyNumberFormat="1" applyFont="1" applyFill="1" applyBorder="1" applyAlignment="1">
      <alignment horizontal="center" vertical="center"/>
    </xf>
    <xf numFmtId="3" fontId="16" fillId="2" borderId="10" xfId="0" applyNumberFormat="1" applyFont="1" applyFill="1" applyBorder="1" applyAlignment="1">
      <alignment horizontal="center" vertical="center"/>
    </xf>
    <xf numFmtId="3" fontId="16" fillId="2" borderId="22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right" vertical="center"/>
    </xf>
    <xf numFmtId="14" fontId="2" fillId="11" borderId="16" xfId="0" applyNumberFormat="1" applyFont="1" applyFill="1" applyBorder="1" applyAlignment="1">
      <alignment horizontal="center" vertical="center" wrapText="1"/>
    </xf>
    <xf numFmtId="14" fontId="2" fillId="11" borderId="17" xfId="0" applyNumberFormat="1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3" fillId="0" borderId="15" xfId="0" applyNumberFormat="1" applyFont="1" applyBorder="1" applyAlignment="1">
      <alignment horizontal="right" vertical="center"/>
    </xf>
    <xf numFmtId="0" fontId="15" fillId="0" borderId="15" xfId="0" applyFont="1" applyBorder="1" applyAlignment="1">
      <alignment horizontal="left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0"/>
  <sheetViews>
    <sheetView tabSelected="1" topLeftCell="A74" zoomScale="73" zoomScaleNormal="73" workbookViewId="0">
      <selection activeCell="P66" sqref="P64:Q66"/>
    </sheetView>
  </sheetViews>
  <sheetFormatPr defaultRowHeight="19.5"/>
  <cols>
    <col min="1" max="1" width="15.28515625" customWidth="1"/>
    <col min="2" max="2" width="6.5703125" style="46" customWidth="1"/>
    <col min="3" max="3" width="7.5703125" style="7" customWidth="1"/>
    <col min="4" max="4" width="8.140625" style="7" customWidth="1"/>
    <col min="5" max="5" width="29" style="7" customWidth="1"/>
    <col min="6" max="6" width="15.5703125" style="7" customWidth="1"/>
    <col min="7" max="7" width="25" style="5" customWidth="1"/>
    <col min="8" max="8" width="24.42578125" style="6" customWidth="1"/>
    <col min="9" max="9" width="20.28515625" style="6" bestFit="1" customWidth="1"/>
    <col min="10" max="10" width="26.42578125" style="6" customWidth="1"/>
    <col min="11" max="11" width="31.7109375" style="6" customWidth="1"/>
    <col min="12" max="12" width="9.5703125" style="41" customWidth="1"/>
    <col min="13" max="13" width="9" style="41" customWidth="1"/>
    <col min="14" max="14" width="7.28515625" style="41" customWidth="1"/>
    <col min="15" max="15" width="17.5703125" style="27" customWidth="1"/>
    <col min="16" max="16" width="15.5703125" style="99" customWidth="1"/>
    <col min="17" max="17" width="15.140625" style="99" customWidth="1"/>
    <col min="18" max="18" width="19.140625" style="99" customWidth="1"/>
    <col min="19" max="19" width="17.42578125" style="99" customWidth="1"/>
    <col min="20" max="21" width="16.5703125" style="2" customWidth="1"/>
    <col min="22" max="22" width="16.5703125" style="2" bestFit="1" customWidth="1"/>
    <col min="23" max="23" width="13.140625" style="2" customWidth="1"/>
    <col min="24" max="24" width="15.140625" style="2" customWidth="1"/>
    <col min="25" max="25" width="15.140625" style="2" bestFit="1" customWidth="1"/>
    <col min="26" max="27" width="13.28515625" style="8" bestFit="1" customWidth="1"/>
    <col min="28" max="34" width="9.140625" style="8"/>
  </cols>
  <sheetData>
    <row r="1" spans="1:34" s="29" customFormat="1" ht="20.25">
      <c r="B1" s="299" t="s">
        <v>3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8"/>
      <c r="W1" s="28"/>
      <c r="X1" s="28"/>
      <c r="Y1" s="28"/>
      <c r="Z1" s="69"/>
      <c r="AA1" s="69"/>
      <c r="AB1" s="69"/>
      <c r="AC1" s="69"/>
      <c r="AD1" s="69"/>
      <c r="AE1" s="69"/>
      <c r="AF1" s="69"/>
      <c r="AG1" s="69"/>
      <c r="AH1" s="69"/>
    </row>
    <row r="2" spans="1:34" s="3" customFormat="1" ht="41.25" customHeight="1" thickBot="1"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70"/>
      <c r="AA2" s="70"/>
      <c r="AB2" s="70"/>
      <c r="AC2" s="70"/>
      <c r="AD2" s="70"/>
      <c r="AE2" s="70"/>
      <c r="AF2" s="70"/>
      <c r="AG2" s="70"/>
      <c r="AH2" s="70"/>
    </row>
    <row r="3" spans="1:34" s="1" customFormat="1" ht="16.5" customHeight="1" thickBot="1">
      <c r="A3" s="301" t="s">
        <v>173</v>
      </c>
      <c r="B3" s="325" t="s">
        <v>119</v>
      </c>
      <c r="C3" s="326"/>
      <c r="D3" s="327"/>
      <c r="E3" s="317" t="s">
        <v>261</v>
      </c>
      <c r="F3" s="307" t="s">
        <v>248</v>
      </c>
      <c r="G3" s="307" t="s">
        <v>24</v>
      </c>
      <c r="H3" s="307" t="s">
        <v>167</v>
      </c>
      <c r="I3" s="307" t="s">
        <v>260</v>
      </c>
      <c r="J3" s="307" t="s">
        <v>21</v>
      </c>
      <c r="K3" s="307" t="s">
        <v>165</v>
      </c>
      <c r="L3" s="304" t="s">
        <v>0</v>
      </c>
      <c r="M3" s="307" t="s">
        <v>20</v>
      </c>
      <c r="N3" s="335" t="s">
        <v>77</v>
      </c>
      <c r="O3" s="310" t="s">
        <v>120</v>
      </c>
      <c r="P3" s="310"/>
      <c r="Q3" s="310"/>
      <c r="R3" s="310"/>
      <c r="S3" s="311" t="s">
        <v>129</v>
      </c>
      <c r="T3" s="312"/>
      <c r="U3" s="312"/>
      <c r="V3" s="312"/>
      <c r="W3" s="312"/>
      <c r="X3" s="313"/>
      <c r="Y3" s="71"/>
      <c r="Z3" s="71"/>
      <c r="AA3" s="320" t="s">
        <v>119</v>
      </c>
      <c r="AB3" s="320"/>
      <c r="AC3" s="320"/>
      <c r="AD3" s="71"/>
      <c r="AE3" s="71"/>
      <c r="AF3" s="71"/>
      <c r="AG3" s="71"/>
    </row>
    <row r="4" spans="1:34" s="1" customFormat="1" ht="16.5" customHeight="1" thickBot="1">
      <c r="A4" s="302"/>
      <c r="B4" s="328"/>
      <c r="C4" s="329"/>
      <c r="D4" s="330"/>
      <c r="E4" s="318"/>
      <c r="F4" s="308"/>
      <c r="G4" s="308"/>
      <c r="H4" s="308"/>
      <c r="I4" s="308"/>
      <c r="J4" s="308"/>
      <c r="K4" s="308"/>
      <c r="L4" s="305"/>
      <c r="M4" s="308"/>
      <c r="N4" s="336"/>
      <c r="O4" s="310"/>
      <c r="P4" s="310"/>
      <c r="Q4" s="310"/>
      <c r="R4" s="310"/>
      <c r="S4" s="314" t="s">
        <v>16</v>
      </c>
      <c r="T4" s="315"/>
      <c r="U4" s="316"/>
      <c r="V4" s="314" t="s">
        <v>14</v>
      </c>
      <c r="W4" s="315"/>
      <c r="X4" s="316"/>
      <c r="Y4" s="71"/>
      <c r="Z4" s="71"/>
      <c r="AA4" s="320"/>
      <c r="AB4" s="320"/>
      <c r="AC4" s="320"/>
      <c r="AD4" s="71"/>
      <c r="AE4" s="71"/>
      <c r="AF4" s="71"/>
      <c r="AG4" s="71"/>
    </row>
    <row r="5" spans="1:34" s="1" customFormat="1" ht="19.5" customHeight="1" thickBot="1">
      <c r="A5" s="303"/>
      <c r="B5" s="101" t="s">
        <v>11</v>
      </c>
      <c r="C5" s="101" t="s">
        <v>12</v>
      </c>
      <c r="D5" s="101" t="s">
        <v>13</v>
      </c>
      <c r="E5" s="319"/>
      <c r="F5" s="309"/>
      <c r="G5" s="309"/>
      <c r="H5" s="309"/>
      <c r="I5" s="309"/>
      <c r="J5" s="309"/>
      <c r="K5" s="309"/>
      <c r="L5" s="306"/>
      <c r="M5" s="309"/>
      <c r="N5" s="337"/>
      <c r="O5" s="4" t="s">
        <v>39</v>
      </c>
      <c r="P5" s="4" t="s">
        <v>122</v>
      </c>
      <c r="Q5" s="4" t="s">
        <v>121</v>
      </c>
      <c r="R5" s="4" t="s">
        <v>4</v>
      </c>
      <c r="S5" s="4" t="s">
        <v>1</v>
      </c>
      <c r="T5" s="4" t="s">
        <v>2</v>
      </c>
      <c r="U5" s="4" t="s">
        <v>4</v>
      </c>
      <c r="V5" s="4" t="s">
        <v>1</v>
      </c>
      <c r="W5" s="4" t="s">
        <v>2</v>
      </c>
      <c r="X5" s="4" t="s">
        <v>4</v>
      </c>
      <c r="Y5" s="71"/>
      <c r="Z5" s="71"/>
      <c r="AA5" s="156" t="s">
        <v>11</v>
      </c>
      <c r="AB5" s="156" t="s">
        <v>12</v>
      </c>
      <c r="AC5" s="156" t="s">
        <v>13</v>
      </c>
      <c r="AD5" s="71"/>
      <c r="AE5" s="71"/>
      <c r="AF5" s="71"/>
      <c r="AG5" s="71"/>
    </row>
    <row r="6" spans="1:34" s="54" customFormat="1" ht="74.25" customHeight="1" thickBot="1">
      <c r="A6" s="103" t="s">
        <v>31</v>
      </c>
      <c r="B6" s="285" t="s">
        <v>270</v>
      </c>
      <c r="C6" s="286"/>
      <c r="D6" s="291"/>
      <c r="E6" s="200" t="s">
        <v>285</v>
      </c>
      <c r="F6" s="257">
        <v>42806</v>
      </c>
      <c r="G6" s="48" t="s">
        <v>168</v>
      </c>
      <c r="H6" s="62" t="s">
        <v>239</v>
      </c>
      <c r="I6" s="264" t="s">
        <v>257</v>
      </c>
      <c r="J6" s="225" t="s">
        <v>287</v>
      </c>
      <c r="K6" s="53" t="s">
        <v>160</v>
      </c>
      <c r="L6" s="47" t="s">
        <v>5</v>
      </c>
      <c r="M6" s="75">
        <v>3901</v>
      </c>
      <c r="N6" s="80" t="s">
        <v>78</v>
      </c>
      <c r="O6" s="53">
        <v>0</v>
      </c>
      <c r="P6" s="53">
        <v>781830.11</v>
      </c>
      <c r="Q6" s="53">
        <f>314479.6</f>
        <v>314479.59999999998</v>
      </c>
      <c r="R6" s="52">
        <f t="shared" ref="R6:R11" si="0">SUM(O6:Q6)</f>
        <v>1096309.71</v>
      </c>
      <c r="S6" s="49"/>
      <c r="T6" s="59">
        <f>1769341.38</f>
        <v>1769341.38</v>
      </c>
      <c r="U6" s="51">
        <f>SUM(S6:T6)</f>
        <v>1769341.38</v>
      </c>
      <c r="V6" s="49"/>
      <c r="W6" s="59">
        <f>13524.06</f>
        <v>13524.06</v>
      </c>
      <c r="X6" s="51">
        <f>SUM(V6:W6)</f>
        <v>13524.06</v>
      </c>
      <c r="Y6" s="72"/>
      <c r="Z6" s="72"/>
      <c r="AA6" s="285">
        <v>42657</v>
      </c>
      <c r="AB6" s="286"/>
      <c r="AC6" s="291"/>
      <c r="AD6" s="72"/>
      <c r="AE6" s="72"/>
      <c r="AF6" s="72"/>
      <c r="AG6" s="72"/>
    </row>
    <row r="7" spans="1:34" s="54" customFormat="1" ht="48.75" customHeight="1" thickBot="1">
      <c r="A7" s="213" t="s">
        <v>283</v>
      </c>
      <c r="B7" s="322"/>
      <c r="C7" s="323"/>
      <c r="D7" s="324"/>
      <c r="E7" s="214" t="s">
        <v>285</v>
      </c>
      <c r="F7" s="215"/>
      <c r="G7" s="216" t="s">
        <v>241</v>
      </c>
      <c r="H7" s="216" t="s">
        <v>330</v>
      </c>
      <c r="I7" s="216"/>
      <c r="J7" s="217"/>
      <c r="K7" s="275" t="s">
        <v>242</v>
      </c>
      <c r="L7" s="218"/>
      <c r="M7" s="219"/>
      <c r="N7" s="220"/>
      <c r="O7" s="217">
        <v>200000</v>
      </c>
      <c r="P7" s="217">
        <v>23452.67</v>
      </c>
      <c r="Q7" s="217"/>
      <c r="R7" s="221">
        <f t="shared" si="0"/>
        <v>223452.66999999998</v>
      </c>
      <c r="S7" s="222"/>
      <c r="T7" s="223"/>
      <c r="U7" s="224"/>
      <c r="V7" s="222"/>
      <c r="W7" s="223"/>
      <c r="X7" s="224"/>
      <c r="Y7" s="72"/>
      <c r="Z7" s="72"/>
      <c r="AA7" s="187"/>
      <c r="AB7" s="188"/>
      <c r="AC7" s="189"/>
      <c r="AD7" s="72"/>
      <c r="AE7" s="72"/>
      <c r="AF7" s="72"/>
      <c r="AG7" s="72"/>
    </row>
    <row r="8" spans="1:34" s="54" customFormat="1" ht="72" customHeight="1" thickBot="1">
      <c r="A8" s="102" t="s">
        <v>32</v>
      </c>
      <c r="B8" s="285">
        <v>43086</v>
      </c>
      <c r="C8" s="286"/>
      <c r="D8" s="291"/>
      <c r="E8" s="200" t="s">
        <v>285</v>
      </c>
      <c r="F8" s="237" t="s">
        <v>258</v>
      </c>
      <c r="G8" s="48" t="s">
        <v>240</v>
      </c>
      <c r="H8" s="48" t="s">
        <v>169</v>
      </c>
      <c r="I8" s="263" t="s">
        <v>257</v>
      </c>
      <c r="J8" s="265" t="s">
        <v>259</v>
      </c>
      <c r="K8" s="53" t="s">
        <v>160</v>
      </c>
      <c r="L8" s="58" t="s">
        <v>5</v>
      </c>
      <c r="M8" s="75">
        <f>3953</f>
        <v>3953</v>
      </c>
      <c r="N8" s="80" t="s">
        <v>79</v>
      </c>
      <c r="O8" s="60">
        <v>500000</v>
      </c>
      <c r="P8" s="60">
        <v>56000.7</v>
      </c>
      <c r="Q8" s="60">
        <f>27874.08</f>
        <v>27874.080000000002</v>
      </c>
      <c r="R8" s="67">
        <f t="shared" si="0"/>
        <v>583874.77999999991</v>
      </c>
      <c r="S8" s="49"/>
      <c r="T8" s="49">
        <f>261830.78</f>
        <v>261830.78</v>
      </c>
      <c r="U8" s="51">
        <f>SUM(S8:T8)</f>
        <v>261830.78</v>
      </c>
      <c r="V8" s="49"/>
      <c r="W8" s="50">
        <v>0</v>
      </c>
      <c r="X8" s="51">
        <f>SUM(V8:W8)</f>
        <v>0</v>
      </c>
      <c r="Y8" s="72"/>
      <c r="Z8" s="72"/>
      <c r="AA8" s="285">
        <v>42658</v>
      </c>
      <c r="AB8" s="286"/>
      <c r="AC8" s="291"/>
      <c r="AD8" s="72"/>
      <c r="AE8" s="72"/>
      <c r="AF8" s="72"/>
      <c r="AG8" s="72"/>
    </row>
    <row r="9" spans="1:34" s="54" customFormat="1" ht="33" customHeight="1" thickBot="1">
      <c r="A9" s="77" t="s">
        <v>55</v>
      </c>
      <c r="B9" s="285">
        <v>42724</v>
      </c>
      <c r="C9" s="286"/>
      <c r="D9" s="291"/>
      <c r="E9" s="200" t="s">
        <v>285</v>
      </c>
      <c r="F9" s="225" t="s">
        <v>249</v>
      </c>
      <c r="G9" s="62" t="s">
        <v>328</v>
      </c>
      <c r="H9" s="62" t="s">
        <v>329</v>
      </c>
      <c r="I9" s="263" t="s">
        <v>257</v>
      </c>
      <c r="J9" s="53" t="s">
        <v>23</v>
      </c>
      <c r="K9" s="53" t="s">
        <v>321</v>
      </c>
      <c r="L9" s="61" t="s">
        <v>5</v>
      </c>
      <c r="M9" s="76">
        <v>4168</v>
      </c>
      <c r="N9" s="81" t="s">
        <v>80</v>
      </c>
      <c r="O9" s="66">
        <v>2000000</v>
      </c>
      <c r="P9" s="66">
        <v>31000</v>
      </c>
      <c r="Q9" s="66">
        <f>134044.48</f>
        <v>134044.48000000001</v>
      </c>
      <c r="R9" s="67">
        <f t="shared" si="0"/>
        <v>2165044.48</v>
      </c>
      <c r="S9" s="64"/>
      <c r="T9" s="64">
        <f>2134044.48</f>
        <v>2134044.48</v>
      </c>
      <c r="U9" s="51">
        <f>SUM(S9:T9)</f>
        <v>2134044.48</v>
      </c>
      <c r="V9" s="64"/>
      <c r="W9" s="64">
        <f>31000</f>
        <v>31000</v>
      </c>
      <c r="X9" s="51">
        <f>SUM(V9:W9)</f>
        <v>31000</v>
      </c>
      <c r="Y9" s="72"/>
      <c r="Z9" s="72"/>
      <c r="AA9" s="285">
        <v>42659</v>
      </c>
      <c r="AB9" s="286"/>
      <c r="AC9" s="291"/>
      <c r="AD9" s="72"/>
      <c r="AE9" s="72"/>
      <c r="AF9" s="72"/>
      <c r="AG9" s="72"/>
    </row>
    <row r="10" spans="1:34" s="54" customFormat="1" ht="30" customHeight="1" thickBot="1">
      <c r="A10" s="77" t="s">
        <v>220</v>
      </c>
      <c r="B10" s="285">
        <v>42660</v>
      </c>
      <c r="C10" s="286"/>
      <c r="D10" s="286"/>
      <c r="E10" s="203" t="s">
        <v>285</v>
      </c>
      <c r="F10" s="179"/>
      <c r="G10" s="48" t="s">
        <v>221</v>
      </c>
      <c r="H10" s="62" t="s">
        <v>244</v>
      </c>
      <c r="I10" s="264" t="s">
        <v>279</v>
      </c>
      <c r="J10" s="266" t="s">
        <v>288</v>
      </c>
      <c r="K10" s="53" t="s">
        <v>104</v>
      </c>
      <c r="L10" s="61" t="s">
        <v>5</v>
      </c>
      <c r="M10" s="76">
        <v>4319</v>
      </c>
      <c r="N10" s="81" t="s">
        <v>106</v>
      </c>
      <c r="O10" s="66">
        <v>250000</v>
      </c>
      <c r="P10" s="66">
        <v>9801.65</v>
      </c>
      <c r="Q10" s="66"/>
      <c r="R10" s="67">
        <f t="shared" si="0"/>
        <v>259801.65</v>
      </c>
      <c r="S10" s="63"/>
      <c r="T10" s="64">
        <v>250000</v>
      </c>
      <c r="U10" s="51">
        <f>SUM(S10:T10)</f>
        <v>250000</v>
      </c>
      <c r="V10" s="63"/>
      <c r="W10" s="64">
        <v>9801.65</v>
      </c>
      <c r="X10" s="51">
        <f>SUM(V10:W10)</f>
        <v>9801.65</v>
      </c>
      <c r="Y10" s="72"/>
      <c r="Z10" s="72"/>
      <c r="AA10" s="285">
        <v>42660</v>
      </c>
      <c r="AB10" s="286"/>
      <c r="AC10" s="291"/>
      <c r="AD10" s="72"/>
      <c r="AE10" s="72"/>
      <c r="AF10" s="72"/>
      <c r="AG10" s="72"/>
    </row>
    <row r="11" spans="1:34" s="54" customFormat="1" ht="30.75" customHeight="1" thickBot="1">
      <c r="A11" s="77" t="s">
        <v>222</v>
      </c>
      <c r="B11" s="285">
        <v>43097</v>
      </c>
      <c r="C11" s="286"/>
      <c r="D11" s="286"/>
      <c r="E11" s="241" t="s">
        <v>285</v>
      </c>
      <c r="F11" s="261">
        <v>43097</v>
      </c>
      <c r="G11" s="62" t="s">
        <v>251</v>
      </c>
      <c r="H11" s="62" t="s">
        <v>243</v>
      </c>
      <c r="I11" s="263" t="s">
        <v>279</v>
      </c>
      <c r="J11" s="266" t="s">
        <v>298</v>
      </c>
      <c r="K11" s="53" t="s">
        <v>104</v>
      </c>
      <c r="L11" s="61" t="s">
        <v>5</v>
      </c>
      <c r="M11" s="76">
        <v>4320</v>
      </c>
      <c r="N11" s="81" t="s">
        <v>109</v>
      </c>
      <c r="O11" s="66">
        <v>350000</v>
      </c>
      <c r="P11" s="66">
        <v>34328.83</v>
      </c>
      <c r="Q11" s="66"/>
      <c r="R11" s="67">
        <f t="shared" si="0"/>
        <v>384328.83</v>
      </c>
      <c r="S11" s="63"/>
      <c r="T11" s="64">
        <v>350000</v>
      </c>
      <c r="U11" s="65">
        <f>SUM(S11:T11)</f>
        <v>350000</v>
      </c>
      <c r="V11" s="63"/>
      <c r="W11" s="64">
        <v>34328.83</v>
      </c>
      <c r="X11" s="65">
        <f>SUM(V11:W11)</f>
        <v>34328.83</v>
      </c>
      <c r="Y11" s="72"/>
      <c r="Z11" s="72"/>
      <c r="AA11" s="285">
        <v>42661</v>
      </c>
      <c r="AB11" s="286"/>
      <c r="AC11" s="291"/>
      <c r="AD11" s="72"/>
      <c r="AE11" s="72"/>
      <c r="AF11" s="72"/>
      <c r="AG11" s="72"/>
    </row>
    <row r="12" spans="1:34" s="278" customFormat="1" ht="22.9" customHeight="1" thickBot="1">
      <c r="A12" s="276" t="s">
        <v>4</v>
      </c>
      <c r="B12" s="292"/>
      <c r="C12" s="293"/>
      <c r="D12" s="293"/>
      <c r="E12" s="252"/>
      <c r="F12" s="245"/>
      <c r="G12" s="246"/>
      <c r="H12" s="246"/>
      <c r="I12" s="246"/>
      <c r="J12" s="247"/>
      <c r="K12" s="246"/>
      <c r="L12" s="248"/>
      <c r="M12" s="249"/>
      <c r="N12" s="250"/>
      <c r="O12" s="251">
        <f t="shared" ref="O12:X12" si="1">SUM(O6:O11)</f>
        <v>3300000</v>
      </c>
      <c r="P12" s="251">
        <f t="shared" si="1"/>
        <v>936413.96</v>
      </c>
      <c r="Q12" s="251">
        <f t="shared" si="1"/>
        <v>476398.16000000003</v>
      </c>
      <c r="R12" s="251">
        <f t="shared" si="1"/>
        <v>4712812.12</v>
      </c>
      <c r="S12" s="251">
        <f t="shared" si="1"/>
        <v>0</v>
      </c>
      <c r="T12" s="251">
        <f t="shared" si="1"/>
        <v>4765216.6399999997</v>
      </c>
      <c r="U12" s="251">
        <f t="shared" si="1"/>
        <v>4765216.6399999997</v>
      </c>
      <c r="V12" s="251">
        <f t="shared" si="1"/>
        <v>0</v>
      </c>
      <c r="W12" s="251">
        <f t="shared" si="1"/>
        <v>88654.540000000008</v>
      </c>
      <c r="X12" s="251">
        <f t="shared" si="1"/>
        <v>88654.540000000008</v>
      </c>
      <c r="Y12" s="277"/>
      <c r="Z12" s="277"/>
      <c r="AA12" s="292">
        <v>42662</v>
      </c>
      <c r="AB12" s="293"/>
      <c r="AC12" s="294"/>
      <c r="AD12" s="277"/>
      <c r="AE12" s="277"/>
      <c r="AF12" s="277"/>
      <c r="AG12" s="277"/>
    </row>
    <row r="13" spans="1:34" s="54" customFormat="1" ht="33" customHeight="1" thickBot="1">
      <c r="A13" s="103" t="s">
        <v>33</v>
      </c>
      <c r="B13" s="285">
        <v>42643</v>
      </c>
      <c r="C13" s="286"/>
      <c r="D13" s="286"/>
      <c r="E13" s="242" t="s">
        <v>286</v>
      </c>
      <c r="F13" s="179"/>
      <c r="G13" s="55" t="s">
        <v>324</v>
      </c>
      <c r="H13" s="55" t="s">
        <v>178</v>
      </c>
      <c r="I13" s="264" t="s">
        <v>318</v>
      </c>
      <c r="J13" s="267" t="s">
        <v>289</v>
      </c>
      <c r="K13" s="265" t="s">
        <v>160</v>
      </c>
      <c r="L13" s="47" t="s">
        <v>9</v>
      </c>
      <c r="M13" s="79">
        <v>3184</v>
      </c>
      <c r="N13" s="83" t="s">
        <v>81</v>
      </c>
      <c r="O13" s="60">
        <v>3000000</v>
      </c>
      <c r="P13" s="60">
        <v>300000</v>
      </c>
      <c r="Q13" s="60">
        <f>288509.03</f>
        <v>288509.03000000003</v>
      </c>
      <c r="R13" s="67">
        <f>SUM(O13:Q13)</f>
        <v>3588509.0300000003</v>
      </c>
      <c r="S13" s="56"/>
      <c r="T13" s="59">
        <f>410481.53</f>
        <v>410481.53</v>
      </c>
      <c r="U13" s="51">
        <f>SUM(S13:T13)</f>
        <v>410481.53</v>
      </c>
      <c r="V13" s="56"/>
      <c r="W13" s="59">
        <v>0</v>
      </c>
      <c r="X13" s="51">
        <f>SUM(V13:W13)</f>
        <v>0</v>
      </c>
      <c r="Y13" s="72"/>
      <c r="Z13" s="72"/>
      <c r="AA13" s="285">
        <v>42663</v>
      </c>
      <c r="AB13" s="286"/>
      <c r="AC13" s="291"/>
      <c r="AD13" s="72"/>
      <c r="AE13" s="72"/>
      <c r="AF13" s="72"/>
      <c r="AG13" s="72"/>
    </row>
    <row r="14" spans="1:34" s="54" customFormat="1" ht="37.5" customHeight="1" thickBot="1">
      <c r="A14" s="105" t="s">
        <v>263</v>
      </c>
      <c r="B14" s="285">
        <v>42664</v>
      </c>
      <c r="C14" s="286"/>
      <c r="D14" s="286"/>
      <c r="E14" s="241" t="s">
        <v>286</v>
      </c>
      <c r="F14" s="201"/>
      <c r="G14" s="62" t="s">
        <v>325</v>
      </c>
      <c r="H14" s="55" t="s">
        <v>178</v>
      </c>
      <c r="I14" s="264" t="s">
        <v>318</v>
      </c>
      <c r="J14" s="265" t="s">
        <v>290</v>
      </c>
      <c r="K14" s="265" t="s">
        <v>63</v>
      </c>
      <c r="L14" s="61" t="s">
        <v>9</v>
      </c>
      <c r="M14" s="76">
        <v>3799</v>
      </c>
      <c r="N14" s="81" t="s">
        <v>82</v>
      </c>
      <c r="O14" s="98">
        <v>560000</v>
      </c>
      <c r="P14" s="98">
        <v>56000</v>
      </c>
      <c r="Q14" s="98">
        <f>94022.88</f>
        <v>94022.88</v>
      </c>
      <c r="R14" s="67">
        <f>SUM(O14:Q14)</f>
        <v>710022.88</v>
      </c>
      <c r="S14" s="63"/>
      <c r="T14" s="64">
        <f>239852.48</f>
        <v>239852.48</v>
      </c>
      <c r="U14" s="65">
        <f>SUM(S14:T14)</f>
        <v>239852.48</v>
      </c>
      <c r="V14" s="63"/>
      <c r="W14" s="73">
        <f>56000</f>
        <v>56000</v>
      </c>
      <c r="X14" s="65">
        <f>SUM(V14:W14)</f>
        <v>56000</v>
      </c>
      <c r="Y14" s="72"/>
      <c r="Z14" s="72"/>
      <c r="AA14" s="285">
        <v>42664</v>
      </c>
      <c r="AB14" s="286"/>
      <c r="AC14" s="291"/>
      <c r="AD14" s="72"/>
      <c r="AE14" s="72"/>
      <c r="AF14" s="72"/>
      <c r="AG14" s="72"/>
    </row>
    <row r="15" spans="1:34" s="278" customFormat="1" ht="22.9" customHeight="1" thickBot="1">
      <c r="A15" s="276" t="s">
        <v>4</v>
      </c>
      <c r="B15" s="292"/>
      <c r="C15" s="293"/>
      <c r="D15" s="293"/>
      <c r="E15" s="252"/>
      <c r="F15" s="245"/>
      <c r="G15" s="246"/>
      <c r="H15" s="246"/>
      <c r="I15" s="246"/>
      <c r="J15" s="247"/>
      <c r="K15" s="246"/>
      <c r="L15" s="248" t="s">
        <v>9</v>
      </c>
      <c r="M15" s="249"/>
      <c r="N15" s="250"/>
      <c r="O15" s="251">
        <f>SUM(O13:O14)</f>
        <v>3560000</v>
      </c>
      <c r="P15" s="251">
        <f>SUM(P13:P14)</f>
        <v>356000</v>
      </c>
      <c r="Q15" s="251">
        <f>SUM(Q13:Q14)</f>
        <v>382531.91000000003</v>
      </c>
      <c r="R15" s="251">
        <f>SUM(R13:R14)</f>
        <v>4298531.91</v>
      </c>
      <c r="S15" s="251">
        <f t="shared" ref="S15:X15" si="2">SUM(S13:S14)</f>
        <v>0</v>
      </c>
      <c r="T15" s="251">
        <f t="shared" si="2"/>
        <v>650334.01</v>
      </c>
      <c r="U15" s="251">
        <f t="shared" si="2"/>
        <v>650334.01</v>
      </c>
      <c r="V15" s="251">
        <f t="shared" si="2"/>
        <v>0</v>
      </c>
      <c r="W15" s="251">
        <f t="shared" si="2"/>
        <v>56000</v>
      </c>
      <c r="X15" s="251">
        <f t="shared" si="2"/>
        <v>56000</v>
      </c>
      <c r="Y15" s="277"/>
      <c r="Z15" s="277"/>
      <c r="AA15" s="292">
        <v>42665</v>
      </c>
      <c r="AB15" s="293"/>
      <c r="AC15" s="294"/>
      <c r="AD15" s="277"/>
      <c r="AE15" s="277"/>
      <c r="AF15" s="277"/>
      <c r="AG15" s="277"/>
    </row>
    <row r="16" spans="1:34" s="54" customFormat="1" ht="39" customHeight="1" thickBot="1">
      <c r="A16" s="103" t="s">
        <v>68</v>
      </c>
      <c r="B16" s="285">
        <v>42666</v>
      </c>
      <c r="C16" s="286"/>
      <c r="D16" s="286"/>
      <c r="E16" s="242"/>
      <c r="F16" s="202"/>
      <c r="G16" s="55" t="s">
        <v>326</v>
      </c>
      <c r="H16" s="55" t="s">
        <v>327</v>
      </c>
      <c r="I16" s="55"/>
      <c r="J16" s="268" t="s">
        <v>64</v>
      </c>
      <c r="K16" s="55"/>
      <c r="L16" s="47" t="s">
        <v>7</v>
      </c>
      <c r="M16" s="79">
        <v>3634</v>
      </c>
      <c r="N16" s="83" t="s">
        <v>83</v>
      </c>
      <c r="O16" s="53">
        <v>10855623.609999999</v>
      </c>
      <c r="P16" s="53">
        <v>109652.77</v>
      </c>
      <c r="Q16" s="53">
        <f>582066.1</f>
        <v>582066.1</v>
      </c>
      <c r="R16" s="67">
        <f t="shared" ref="R16:R25" si="3">SUM(O16:Q16)</f>
        <v>11547342.479999999</v>
      </c>
      <c r="S16" s="59">
        <f>7966641.28-2300000</f>
        <v>5666641.2800000003</v>
      </c>
      <c r="T16" s="56">
        <v>2300000</v>
      </c>
      <c r="U16" s="51">
        <f t="shared" ref="U16:U25" si="4">SUM(S16:T16)</f>
        <v>7966641.2800000003</v>
      </c>
      <c r="V16" s="59">
        <f>109652.77-25000</f>
        <v>84652.77</v>
      </c>
      <c r="W16" s="56">
        <v>25000</v>
      </c>
      <c r="X16" s="51">
        <f t="shared" ref="X16:X25" si="5">SUM(V16:W16)</f>
        <v>109652.77</v>
      </c>
      <c r="Y16" s="72"/>
      <c r="Z16" s="72"/>
      <c r="AA16" s="285">
        <v>42666</v>
      </c>
      <c r="AB16" s="286"/>
      <c r="AC16" s="291"/>
      <c r="AD16" s="72"/>
      <c r="AE16" s="72"/>
      <c r="AF16" s="72"/>
      <c r="AG16" s="72"/>
    </row>
    <row r="17" spans="1:33" s="54" customFormat="1" ht="33" customHeight="1" thickBot="1">
      <c r="A17" s="226" t="s">
        <v>235</v>
      </c>
      <c r="B17" s="296"/>
      <c r="C17" s="297"/>
      <c r="D17" s="298"/>
      <c r="E17" s="227"/>
      <c r="F17" s="228" t="s">
        <v>264</v>
      </c>
      <c r="G17" s="228" t="s">
        <v>236</v>
      </c>
      <c r="H17" s="228"/>
      <c r="I17" s="228"/>
      <c r="J17" s="229"/>
      <c r="K17" s="274" t="s">
        <v>265</v>
      </c>
      <c r="L17" s="230"/>
      <c r="M17" s="226"/>
      <c r="N17" s="231"/>
      <c r="O17" s="229">
        <v>214120</v>
      </c>
      <c r="P17" s="229">
        <v>23791.11</v>
      </c>
      <c r="Q17" s="229"/>
      <c r="R17" s="232">
        <f t="shared" si="3"/>
        <v>237911.11</v>
      </c>
      <c r="S17" s="233"/>
      <c r="T17" s="234"/>
      <c r="U17" s="235"/>
      <c r="V17" s="233"/>
      <c r="W17" s="236"/>
      <c r="X17" s="235"/>
      <c r="Y17" s="72"/>
      <c r="Z17" s="72"/>
      <c r="AA17" s="187"/>
      <c r="AB17" s="188"/>
      <c r="AC17" s="189"/>
      <c r="AD17" s="72"/>
      <c r="AE17" s="72"/>
      <c r="AF17" s="72"/>
      <c r="AG17" s="72"/>
    </row>
    <row r="18" spans="1:33" s="54" customFormat="1" ht="33" customHeight="1" thickBot="1">
      <c r="A18" s="103" t="s">
        <v>34</v>
      </c>
      <c r="B18" s="285">
        <v>42667</v>
      </c>
      <c r="C18" s="286"/>
      <c r="D18" s="291"/>
      <c r="E18" s="200" t="s">
        <v>285</v>
      </c>
      <c r="F18" s="186"/>
      <c r="G18" s="48" t="s">
        <v>27</v>
      </c>
      <c r="H18" s="263" t="s">
        <v>239</v>
      </c>
      <c r="I18" s="48"/>
      <c r="J18" s="264"/>
      <c r="K18" s="264" t="s">
        <v>191</v>
      </c>
      <c r="L18" s="47" t="s">
        <v>7</v>
      </c>
      <c r="M18" s="75">
        <v>3900</v>
      </c>
      <c r="N18" s="80" t="s">
        <v>84</v>
      </c>
      <c r="O18" s="53">
        <v>2644230.6</v>
      </c>
      <c r="P18" s="53">
        <v>293994.81</v>
      </c>
      <c r="Q18" s="53">
        <f>471631.17</f>
        <v>471631.17</v>
      </c>
      <c r="R18" s="67">
        <f t="shared" si="3"/>
        <v>3409856.58</v>
      </c>
      <c r="S18" s="49"/>
      <c r="T18" s="64">
        <f>121196.92</f>
        <v>121196.92</v>
      </c>
      <c r="U18" s="51">
        <f t="shared" si="4"/>
        <v>121196.92</v>
      </c>
      <c r="V18" s="49"/>
      <c r="W18" s="50">
        <f>3051.35</f>
        <v>3051.35</v>
      </c>
      <c r="X18" s="51">
        <f t="shared" si="5"/>
        <v>3051.35</v>
      </c>
      <c r="Y18" s="72"/>
      <c r="Z18" s="72"/>
      <c r="AA18" s="285">
        <v>42667</v>
      </c>
      <c r="AB18" s="286"/>
      <c r="AC18" s="291"/>
      <c r="AD18" s="72"/>
      <c r="AE18" s="72"/>
      <c r="AF18" s="72"/>
      <c r="AG18" s="72"/>
    </row>
    <row r="19" spans="1:33" s="54" customFormat="1" ht="33" customHeight="1" thickBot="1">
      <c r="A19" s="105" t="s">
        <v>284</v>
      </c>
      <c r="B19" s="285"/>
      <c r="C19" s="286"/>
      <c r="D19" s="286"/>
      <c r="E19" s="203" t="s">
        <v>285</v>
      </c>
      <c r="F19" s="197"/>
      <c r="G19" s="62" t="s">
        <v>238</v>
      </c>
      <c r="H19" s="263" t="s">
        <v>239</v>
      </c>
      <c r="I19" s="263" t="s">
        <v>257</v>
      </c>
      <c r="J19" s="264" t="s">
        <v>237</v>
      </c>
      <c r="K19" s="264" t="s">
        <v>191</v>
      </c>
      <c r="L19" s="61"/>
      <c r="M19" s="76"/>
      <c r="N19" s="81"/>
      <c r="O19" s="66">
        <v>105204.5</v>
      </c>
      <c r="P19" s="66">
        <v>11771.07</v>
      </c>
      <c r="Q19" s="66"/>
      <c r="R19" s="67">
        <f t="shared" si="3"/>
        <v>116975.57</v>
      </c>
      <c r="S19" s="63"/>
      <c r="T19" s="64"/>
      <c r="U19" s="51"/>
      <c r="V19" s="63"/>
      <c r="W19" s="64"/>
      <c r="X19" s="51"/>
      <c r="Y19" s="72"/>
      <c r="Z19" s="72"/>
      <c r="AA19" s="187"/>
      <c r="AB19" s="188"/>
      <c r="AC19" s="189"/>
      <c r="AD19" s="72"/>
      <c r="AE19" s="72"/>
      <c r="AF19" s="72"/>
      <c r="AG19" s="72"/>
    </row>
    <row r="20" spans="1:33" s="54" customFormat="1" ht="76.5" customHeight="1" thickBot="1">
      <c r="A20" s="77" t="s">
        <v>43</v>
      </c>
      <c r="B20" s="285">
        <v>42694</v>
      </c>
      <c r="C20" s="286"/>
      <c r="D20" s="286"/>
      <c r="E20" s="203" t="s">
        <v>286</v>
      </c>
      <c r="F20" s="179"/>
      <c r="G20" s="62" t="s">
        <v>49</v>
      </c>
      <c r="H20" s="62"/>
      <c r="I20" s="263" t="s">
        <v>291</v>
      </c>
      <c r="J20" s="267" t="s">
        <v>305</v>
      </c>
      <c r="K20" s="53" t="s">
        <v>160</v>
      </c>
      <c r="L20" s="61" t="s">
        <v>7</v>
      </c>
      <c r="M20" s="76">
        <v>4074</v>
      </c>
      <c r="N20" s="81" t="s">
        <v>85</v>
      </c>
      <c r="O20" s="66">
        <v>2921145</v>
      </c>
      <c r="P20" s="66">
        <v>216000</v>
      </c>
      <c r="Q20" s="66">
        <f>233371.04</f>
        <v>233371.04</v>
      </c>
      <c r="R20" s="67">
        <f t="shared" si="3"/>
        <v>3370516.04</v>
      </c>
      <c r="S20" s="63"/>
      <c r="T20" s="64">
        <f>3154516.04</f>
        <v>3154516.04</v>
      </c>
      <c r="U20" s="51">
        <f t="shared" si="4"/>
        <v>3154516.04</v>
      </c>
      <c r="V20" s="63"/>
      <c r="W20" s="64">
        <f>216000</f>
        <v>216000</v>
      </c>
      <c r="X20" s="51">
        <f t="shared" si="5"/>
        <v>216000</v>
      </c>
      <c r="Y20" s="72"/>
      <c r="Z20" s="72"/>
      <c r="AA20" s="285">
        <v>42668</v>
      </c>
      <c r="AB20" s="286"/>
      <c r="AC20" s="291"/>
      <c r="AD20" s="72"/>
      <c r="AE20" s="72"/>
      <c r="AF20" s="72"/>
      <c r="AG20" s="72"/>
    </row>
    <row r="21" spans="1:33" s="54" customFormat="1" ht="38.25" customHeight="1" thickBot="1">
      <c r="A21" s="77" t="s">
        <v>45</v>
      </c>
      <c r="B21" s="285">
        <v>42400</v>
      </c>
      <c r="C21" s="286"/>
      <c r="D21" s="286"/>
      <c r="E21" s="203" t="s">
        <v>285</v>
      </c>
      <c r="F21" s="204"/>
      <c r="G21" s="62" t="s">
        <v>48</v>
      </c>
      <c r="H21" s="263" t="s">
        <v>239</v>
      </c>
      <c r="I21" s="263" t="s">
        <v>257</v>
      </c>
      <c r="J21" s="225" t="s">
        <v>292</v>
      </c>
      <c r="K21" s="264" t="s">
        <v>191</v>
      </c>
      <c r="L21" s="61" t="s">
        <v>7</v>
      </c>
      <c r="M21" s="76">
        <v>4112</v>
      </c>
      <c r="N21" s="81" t="s">
        <v>86</v>
      </c>
      <c r="O21" s="66">
        <v>800000</v>
      </c>
      <c r="P21" s="66">
        <v>53239.519999999997</v>
      </c>
      <c r="Q21" s="66">
        <f>76874.87</f>
        <v>76874.87</v>
      </c>
      <c r="R21" s="67">
        <f t="shared" si="3"/>
        <v>930114.39</v>
      </c>
      <c r="S21" s="63"/>
      <c r="T21" s="64">
        <f>299123.39</f>
        <v>299123.39</v>
      </c>
      <c r="U21" s="51">
        <f t="shared" si="4"/>
        <v>299123.39</v>
      </c>
      <c r="V21" s="63"/>
      <c r="W21" s="64">
        <f>53239.52</f>
        <v>53239.519999999997</v>
      </c>
      <c r="X21" s="51">
        <f t="shared" si="5"/>
        <v>53239.519999999997</v>
      </c>
      <c r="Y21" s="72"/>
      <c r="Z21" s="72"/>
      <c r="AA21" s="285">
        <v>42669</v>
      </c>
      <c r="AB21" s="286"/>
      <c r="AC21" s="291"/>
      <c r="AD21" s="72"/>
      <c r="AE21" s="72"/>
      <c r="AF21" s="72"/>
      <c r="AG21" s="72"/>
    </row>
    <row r="22" spans="1:33" s="54" customFormat="1" ht="33" customHeight="1" thickBot="1">
      <c r="A22" s="77" t="s">
        <v>293</v>
      </c>
      <c r="B22" s="285">
        <v>42670</v>
      </c>
      <c r="C22" s="286"/>
      <c r="D22" s="286"/>
      <c r="E22" s="203" t="s">
        <v>285</v>
      </c>
      <c r="F22" s="205"/>
      <c r="G22" s="62" t="s">
        <v>60</v>
      </c>
      <c r="H22" s="62"/>
      <c r="I22" s="263" t="s">
        <v>322</v>
      </c>
      <c r="J22" s="53"/>
      <c r="K22" s="53" t="s">
        <v>160</v>
      </c>
      <c r="L22" s="61" t="s">
        <v>7</v>
      </c>
      <c r="M22" s="76">
        <v>4207</v>
      </c>
      <c r="N22" s="81" t="s">
        <v>87</v>
      </c>
      <c r="O22" s="66">
        <v>300000</v>
      </c>
      <c r="P22" s="66">
        <v>16695.63</v>
      </c>
      <c r="Q22" s="66">
        <f>27285.53</f>
        <v>27285.53</v>
      </c>
      <c r="R22" s="67">
        <f t="shared" si="3"/>
        <v>343981.16000000003</v>
      </c>
      <c r="S22" s="64"/>
      <c r="T22" s="64">
        <f>60006.53</f>
        <v>60006.53</v>
      </c>
      <c r="U22" s="51">
        <f t="shared" si="4"/>
        <v>60006.53</v>
      </c>
      <c r="V22" s="64"/>
      <c r="W22" s="64">
        <f>16695.63</f>
        <v>16695.63</v>
      </c>
      <c r="X22" s="51">
        <f t="shared" si="5"/>
        <v>16695.63</v>
      </c>
      <c r="Y22" s="72"/>
      <c r="Z22" s="72"/>
      <c r="AA22" s="285">
        <v>42670</v>
      </c>
      <c r="AB22" s="286"/>
      <c r="AC22" s="291"/>
      <c r="AD22" s="72"/>
      <c r="AE22" s="72"/>
      <c r="AF22" s="72"/>
      <c r="AG22" s="72"/>
    </row>
    <row r="23" spans="1:33" s="54" customFormat="1" ht="44.25" customHeight="1" thickBot="1">
      <c r="A23" s="77" t="s">
        <v>294</v>
      </c>
      <c r="B23" s="285">
        <v>42674</v>
      </c>
      <c r="C23" s="286"/>
      <c r="D23" s="286"/>
      <c r="E23" s="203"/>
      <c r="F23" s="205"/>
      <c r="G23" s="62" t="s">
        <v>67</v>
      </c>
      <c r="H23" s="62"/>
      <c r="I23" s="263" t="s">
        <v>320</v>
      </c>
      <c r="J23" s="269" t="s">
        <v>295</v>
      </c>
      <c r="K23" s="53" t="s">
        <v>160</v>
      </c>
      <c r="L23" s="61" t="s">
        <v>7</v>
      </c>
      <c r="M23" s="76">
        <v>4208</v>
      </c>
      <c r="N23" s="81" t="s">
        <v>88</v>
      </c>
      <c r="O23" s="66">
        <v>150000</v>
      </c>
      <c r="P23" s="66">
        <v>8420.2900000000009</v>
      </c>
      <c r="Q23" s="66">
        <f>14159.6</f>
        <v>14159.6</v>
      </c>
      <c r="R23" s="67">
        <f t="shared" si="3"/>
        <v>172579.89</v>
      </c>
      <c r="S23" s="64"/>
      <c r="T23" s="64">
        <f>164159.6</f>
        <v>164159.6</v>
      </c>
      <c r="U23" s="51">
        <f t="shared" si="4"/>
        <v>164159.6</v>
      </c>
      <c r="V23" s="64"/>
      <c r="W23" s="64">
        <f>8420.29</f>
        <v>8420.2900000000009</v>
      </c>
      <c r="X23" s="51">
        <f t="shared" si="5"/>
        <v>8420.2900000000009</v>
      </c>
      <c r="Y23" s="72"/>
      <c r="Z23" s="72"/>
      <c r="AA23" s="285">
        <v>42671</v>
      </c>
      <c r="AB23" s="286"/>
      <c r="AC23" s="291"/>
      <c r="AD23" s="72"/>
      <c r="AE23" s="72"/>
      <c r="AF23" s="72"/>
      <c r="AG23" s="72"/>
    </row>
    <row r="24" spans="1:33" s="54" customFormat="1" ht="33.75" thickBot="1">
      <c r="A24" s="77" t="s">
        <v>71</v>
      </c>
      <c r="B24" s="285">
        <v>42733</v>
      </c>
      <c r="C24" s="286"/>
      <c r="D24" s="286"/>
      <c r="E24" s="203" t="s">
        <v>285</v>
      </c>
      <c r="F24" s="206"/>
      <c r="G24" s="62" t="s">
        <v>245</v>
      </c>
      <c r="H24" s="263" t="s">
        <v>210</v>
      </c>
      <c r="I24" s="62"/>
      <c r="J24" s="268" t="s">
        <v>296</v>
      </c>
      <c r="K24" s="53" t="s">
        <v>160</v>
      </c>
      <c r="L24" s="61" t="s">
        <v>7</v>
      </c>
      <c r="M24" s="76">
        <v>4257</v>
      </c>
      <c r="N24" s="81" t="s">
        <v>89</v>
      </c>
      <c r="O24" s="96">
        <v>100000</v>
      </c>
      <c r="P24" s="96">
        <v>11000</v>
      </c>
      <c r="Q24" s="96">
        <f>9439.73</f>
        <v>9439.73</v>
      </c>
      <c r="R24" s="67">
        <f t="shared" si="3"/>
        <v>120439.73</v>
      </c>
      <c r="S24" s="64"/>
      <c r="T24" s="64">
        <f>109439.73</f>
        <v>109439.73</v>
      </c>
      <c r="U24" s="51">
        <f t="shared" si="4"/>
        <v>109439.73</v>
      </c>
      <c r="V24" s="64"/>
      <c r="W24" s="64">
        <v>11000</v>
      </c>
      <c r="X24" s="51">
        <f t="shared" si="5"/>
        <v>11000</v>
      </c>
      <c r="AA24" s="285">
        <v>42672</v>
      </c>
      <c r="AB24" s="286"/>
      <c r="AC24" s="291"/>
    </row>
    <row r="25" spans="1:33" s="54" customFormat="1" ht="60.75" thickBot="1">
      <c r="A25" s="77" t="s">
        <v>254</v>
      </c>
      <c r="B25" s="285">
        <v>42714</v>
      </c>
      <c r="C25" s="286"/>
      <c r="D25" s="286"/>
      <c r="E25" s="241" t="s">
        <v>285</v>
      </c>
      <c r="F25" s="179"/>
      <c r="G25" s="62" t="s">
        <v>252</v>
      </c>
      <c r="H25" s="263" t="s">
        <v>253</v>
      </c>
      <c r="I25" s="263" t="s">
        <v>323</v>
      </c>
      <c r="J25" s="266" t="s">
        <v>297</v>
      </c>
      <c r="K25" s="53" t="s">
        <v>160</v>
      </c>
      <c r="L25" s="61" t="s">
        <v>7</v>
      </c>
      <c r="M25" s="76">
        <v>4318</v>
      </c>
      <c r="N25" s="81" t="s">
        <v>113</v>
      </c>
      <c r="O25" s="66">
        <v>150000</v>
      </c>
      <c r="P25" s="66">
        <v>34699.800000000003</v>
      </c>
      <c r="Q25" s="66"/>
      <c r="R25" s="67">
        <f t="shared" si="3"/>
        <v>184699.8</v>
      </c>
      <c r="S25" s="64"/>
      <c r="T25" s="64">
        <v>150000</v>
      </c>
      <c r="U25" s="51">
        <f t="shared" si="4"/>
        <v>150000</v>
      </c>
      <c r="V25" s="64"/>
      <c r="W25" s="64">
        <v>34699.800000000003</v>
      </c>
      <c r="X25" s="51">
        <f t="shared" si="5"/>
        <v>34699.800000000003</v>
      </c>
      <c r="Y25" s="72"/>
      <c r="Z25" s="72"/>
      <c r="AA25" s="285">
        <v>42673</v>
      </c>
      <c r="AB25" s="286"/>
      <c r="AC25" s="291"/>
      <c r="AD25" s="72"/>
      <c r="AE25" s="72"/>
      <c r="AF25" s="72"/>
      <c r="AG25" s="72"/>
    </row>
    <row r="26" spans="1:33" s="278" customFormat="1" ht="22.9" customHeight="1" thickBot="1">
      <c r="A26" s="279" t="s">
        <v>4</v>
      </c>
      <c r="B26" s="292"/>
      <c r="C26" s="293"/>
      <c r="D26" s="293"/>
      <c r="E26" s="252"/>
      <c r="F26" s="245"/>
      <c r="G26" s="246"/>
      <c r="H26" s="246"/>
      <c r="I26" s="246"/>
      <c r="J26" s="247"/>
      <c r="K26" s="246"/>
      <c r="L26" s="248"/>
      <c r="M26" s="249"/>
      <c r="N26" s="250"/>
      <c r="O26" s="251">
        <f>SUM(O16:O25)</f>
        <v>18240323.710000001</v>
      </c>
      <c r="P26" s="251">
        <f>SUM(P16:P25)</f>
        <v>779265.00000000012</v>
      </c>
      <c r="Q26" s="251">
        <f>SUM(Q16:Q25)</f>
        <v>1414828.0400000003</v>
      </c>
      <c r="R26" s="251">
        <f>SUM(R16:R25)</f>
        <v>20434416.75</v>
      </c>
      <c r="S26" s="251">
        <f t="shared" ref="S26:X26" si="6">SUM(S16:S25)</f>
        <v>5666641.2800000003</v>
      </c>
      <c r="T26" s="251">
        <f t="shared" si="6"/>
        <v>6358442.21</v>
      </c>
      <c r="U26" s="251">
        <f t="shared" si="6"/>
        <v>12025083.49</v>
      </c>
      <c r="V26" s="251">
        <f t="shared" si="6"/>
        <v>84652.77</v>
      </c>
      <c r="W26" s="251">
        <f t="shared" si="6"/>
        <v>368106.58999999997</v>
      </c>
      <c r="X26" s="251">
        <f t="shared" si="6"/>
        <v>452759.36</v>
      </c>
      <c r="Y26" s="277"/>
      <c r="Z26" s="277"/>
      <c r="AA26" s="292">
        <v>42674</v>
      </c>
      <c r="AB26" s="293"/>
      <c r="AC26" s="294"/>
      <c r="AD26" s="277"/>
      <c r="AE26" s="277"/>
      <c r="AF26" s="277"/>
      <c r="AG26" s="277"/>
    </row>
    <row r="27" spans="1:33" s="54" customFormat="1" ht="33" customHeight="1" thickBot="1">
      <c r="A27" s="77" t="s">
        <v>42</v>
      </c>
      <c r="B27" s="285">
        <v>42865</v>
      </c>
      <c r="C27" s="286"/>
      <c r="D27" s="286"/>
      <c r="E27" s="242" t="s">
        <v>286</v>
      </c>
      <c r="F27" s="179"/>
      <c r="G27" s="62" t="s">
        <v>41</v>
      </c>
      <c r="H27" s="263" t="s">
        <v>232</v>
      </c>
      <c r="I27" s="263" t="s">
        <v>233</v>
      </c>
      <c r="K27" s="53" t="s">
        <v>160</v>
      </c>
      <c r="L27" s="61" t="s">
        <v>10</v>
      </c>
      <c r="M27" s="76">
        <v>4073</v>
      </c>
      <c r="N27" s="81" t="s">
        <v>90</v>
      </c>
      <c r="O27" s="66">
        <v>1089000</v>
      </c>
      <c r="P27" s="66">
        <v>11000</v>
      </c>
      <c r="Q27" s="66">
        <f>140348.25</f>
        <v>140348.25</v>
      </c>
      <c r="R27" s="67">
        <f t="shared" ref="R27:R34" si="7">SUM(O27:Q27)</f>
        <v>1240348.25</v>
      </c>
      <c r="S27" s="73">
        <f>1202068.13-93000</f>
        <v>1109068.1299999999</v>
      </c>
      <c r="T27" s="73">
        <v>93000</v>
      </c>
      <c r="U27" s="65">
        <f t="shared" ref="U27:U34" si="8">SUM(S27:T27)</f>
        <v>1202068.1299999999</v>
      </c>
      <c r="V27" s="63"/>
      <c r="W27" s="63">
        <f>11000</f>
        <v>11000</v>
      </c>
      <c r="X27" s="65">
        <f t="shared" ref="X27:X34" si="9">SUM(V27:W27)</f>
        <v>11000</v>
      </c>
      <c r="Y27" s="72"/>
      <c r="Z27" s="72"/>
      <c r="AA27" s="285">
        <v>42675</v>
      </c>
      <c r="AB27" s="286"/>
      <c r="AC27" s="291"/>
      <c r="AD27" s="72"/>
      <c r="AE27" s="72"/>
      <c r="AF27" s="72"/>
      <c r="AG27" s="72"/>
    </row>
    <row r="28" spans="1:33" s="54" customFormat="1" ht="89.25" customHeight="1" thickBot="1">
      <c r="A28" s="77" t="s">
        <v>54</v>
      </c>
      <c r="B28" s="285" t="s">
        <v>266</v>
      </c>
      <c r="C28" s="286"/>
      <c r="D28" s="286"/>
      <c r="E28" s="203" t="s">
        <v>286</v>
      </c>
      <c r="F28" s="207"/>
      <c r="G28" s="62" t="s">
        <v>57</v>
      </c>
      <c r="H28" s="263" t="s">
        <v>250</v>
      </c>
      <c r="I28" s="263" t="s">
        <v>256</v>
      </c>
      <c r="J28" s="66"/>
      <c r="K28" s="53" t="s">
        <v>160</v>
      </c>
      <c r="L28" s="61" t="s">
        <v>10</v>
      </c>
      <c r="M28" s="76">
        <v>4167</v>
      </c>
      <c r="N28" s="81" t="s">
        <v>91</v>
      </c>
      <c r="O28" s="66">
        <v>500000</v>
      </c>
      <c r="P28" s="66">
        <v>50000</v>
      </c>
      <c r="Q28" s="66">
        <f>70721.58</f>
        <v>70721.58</v>
      </c>
      <c r="R28" s="67">
        <f t="shared" si="7"/>
        <v>620721.57999999996</v>
      </c>
      <c r="S28" s="64">
        <f>497721.58</f>
        <v>497721.58</v>
      </c>
      <c r="T28" s="64"/>
      <c r="U28" s="65">
        <f t="shared" si="8"/>
        <v>497721.58</v>
      </c>
      <c r="V28" s="64">
        <f>50000</f>
        <v>50000</v>
      </c>
      <c r="W28" s="64"/>
      <c r="X28" s="65">
        <f t="shared" si="9"/>
        <v>50000</v>
      </c>
      <c r="Y28" s="72"/>
      <c r="Z28" s="72"/>
      <c r="AA28" s="285">
        <v>42676</v>
      </c>
      <c r="AB28" s="286"/>
      <c r="AC28" s="291"/>
      <c r="AD28" s="72"/>
      <c r="AE28" s="72"/>
      <c r="AF28" s="72"/>
      <c r="AG28" s="72"/>
    </row>
    <row r="29" spans="1:33" s="54" customFormat="1" ht="38.25" customHeight="1" thickBot="1">
      <c r="A29" s="77" t="s">
        <v>56</v>
      </c>
      <c r="B29" s="285">
        <v>42677</v>
      </c>
      <c r="C29" s="286"/>
      <c r="D29" s="286"/>
      <c r="E29" s="203" t="s">
        <v>286</v>
      </c>
      <c r="F29" s="206"/>
      <c r="G29" s="62" t="s">
        <v>116</v>
      </c>
      <c r="H29" s="263" t="s">
        <v>172</v>
      </c>
      <c r="I29" s="263" t="s">
        <v>303</v>
      </c>
      <c r="J29" s="53"/>
      <c r="K29" s="263" t="s">
        <v>267</v>
      </c>
      <c r="L29" s="61" t="s">
        <v>10</v>
      </c>
      <c r="M29" s="76">
        <v>4177</v>
      </c>
      <c r="N29" s="81" t="s">
        <v>92</v>
      </c>
      <c r="O29" s="66">
        <v>123310</v>
      </c>
      <c r="P29" s="66">
        <v>6490</v>
      </c>
      <c r="Q29" s="66">
        <f>8955.21</f>
        <v>8955.2099999999991</v>
      </c>
      <c r="R29" s="67">
        <f t="shared" si="7"/>
        <v>138755.21</v>
      </c>
      <c r="S29" s="64">
        <f>132265.21</f>
        <v>132265.21</v>
      </c>
      <c r="T29" s="64"/>
      <c r="U29" s="65">
        <f t="shared" si="8"/>
        <v>132265.21</v>
      </c>
      <c r="V29" s="64">
        <f>6490</f>
        <v>6490</v>
      </c>
      <c r="W29" s="64"/>
      <c r="X29" s="65">
        <f t="shared" si="9"/>
        <v>6490</v>
      </c>
      <c r="Y29" s="72"/>
      <c r="Z29" s="72"/>
      <c r="AA29" s="285">
        <v>42677</v>
      </c>
      <c r="AB29" s="286"/>
      <c r="AC29" s="291"/>
      <c r="AD29" s="72"/>
      <c r="AE29" s="72"/>
      <c r="AF29" s="72"/>
      <c r="AG29" s="72"/>
    </row>
    <row r="30" spans="1:33" s="54" customFormat="1" ht="38.25" customHeight="1" thickBot="1">
      <c r="A30" s="77" t="s">
        <v>58</v>
      </c>
      <c r="B30" s="285">
        <v>42786</v>
      </c>
      <c r="C30" s="286"/>
      <c r="D30" s="286"/>
      <c r="E30" s="203" t="s">
        <v>286</v>
      </c>
      <c r="F30" s="206"/>
      <c r="G30" s="62" t="s">
        <v>116</v>
      </c>
      <c r="H30" s="263" t="s">
        <v>172</v>
      </c>
      <c r="I30" s="263" t="s">
        <v>304</v>
      </c>
      <c r="J30" s="53"/>
      <c r="K30" s="53" t="s">
        <v>160</v>
      </c>
      <c r="L30" s="61" t="s">
        <v>10</v>
      </c>
      <c r="M30" s="76">
        <v>4179</v>
      </c>
      <c r="N30" s="81" t="s">
        <v>93</v>
      </c>
      <c r="O30" s="66">
        <v>179117.65</v>
      </c>
      <c r="P30" s="66">
        <v>9269.35</v>
      </c>
      <c r="Q30" s="66">
        <f>16759.62</f>
        <v>16759.62</v>
      </c>
      <c r="R30" s="67">
        <f t="shared" si="7"/>
        <v>205146.62</v>
      </c>
      <c r="S30" s="64">
        <f>182337.2</f>
        <v>182337.2</v>
      </c>
      <c r="T30" s="64"/>
      <c r="U30" s="65">
        <f t="shared" si="8"/>
        <v>182337.2</v>
      </c>
      <c r="V30" s="64">
        <f>9269.35</f>
        <v>9269.35</v>
      </c>
      <c r="W30" s="64"/>
      <c r="X30" s="65">
        <f t="shared" si="9"/>
        <v>9269.35</v>
      </c>
      <c r="Y30" s="72"/>
      <c r="Z30" s="72"/>
      <c r="AA30" s="285">
        <v>42678</v>
      </c>
      <c r="AB30" s="286"/>
      <c r="AC30" s="291"/>
      <c r="AD30" s="72"/>
      <c r="AE30" s="72"/>
      <c r="AF30" s="72"/>
      <c r="AG30" s="72"/>
    </row>
    <row r="31" spans="1:33" s="54" customFormat="1" ht="33" customHeight="1" thickBot="1">
      <c r="A31" s="77" t="s">
        <v>76</v>
      </c>
      <c r="B31" s="285">
        <v>42684</v>
      </c>
      <c r="C31" s="286"/>
      <c r="D31" s="286"/>
      <c r="E31" s="203" t="s">
        <v>286</v>
      </c>
      <c r="F31" s="179"/>
      <c r="G31" s="62" t="s">
        <v>187</v>
      </c>
      <c r="H31" s="62" t="s">
        <v>319</v>
      </c>
      <c r="I31" s="263" t="s">
        <v>317</v>
      </c>
      <c r="K31" s="53" t="s">
        <v>268</v>
      </c>
      <c r="L31" s="61" t="s">
        <v>10</v>
      </c>
      <c r="M31" s="76">
        <v>4223</v>
      </c>
      <c r="N31" s="81" t="s">
        <v>94</v>
      </c>
      <c r="O31" s="53">
        <v>1250000</v>
      </c>
      <c r="P31" s="53">
        <v>138888.9</v>
      </c>
      <c r="Q31" s="53"/>
      <c r="R31" s="67">
        <f t="shared" si="7"/>
        <v>1388888.9</v>
      </c>
      <c r="S31" s="50"/>
      <c r="T31" s="50">
        <f>1250000</f>
        <v>1250000</v>
      </c>
      <c r="U31" s="65">
        <f t="shared" si="8"/>
        <v>1250000</v>
      </c>
      <c r="V31" s="64"/>
      <c r="W31" s="64">
        <f>138888.9</f>
        <v>138888.9</v>
      </c>
      <c r="X31" s="65">
        <f t="shared" si="9"/>
        <v>138888.9</v>
      </c>
      <c r="Y31" s="72"/>
      <c r="Z31" s="72"/>
      <c r="AA31" s="285">
        <v>42679</v>
      </c>
      <c r="AB31" s="286"/>
      <c r="AC31" s="291"/>
      <c r="AD31" s="72"/>
      <c r="AE31" s="72"/>
      <c r="AF31" s="72"/>
      <c r="AG31" s="72"/>
    </row>
    <row r="32" spans="1:33" s="54" customFormat="1" ht="48.75" customHeight="1" thickBot="1">
      <c r="A32" s="77" t="s">
        <v>174</v>
      </c>
      <c r="B32" s="285">
        <v>42683</v>
      </c>
      <c r="C32" s="286"/>
      <c r="D32" s="286"/>
      <c r="E32" s="203" t="s">
        <v>286</v>
      </c>
      <c r="F32" s="193" t="s">
        <v>269</v>
      </c>
      <c r="G32" s="62" t="s">
        <v>255</v>
      </c>
      <c r="H32" s="263" t="s">
        <v>250</v>
      </c>
      <c r="I32" s="263" t="s">
        <v>311</v>
      </c>
      <c r="J32" s="225" t="s">
        <v>316</v>
      </c>
      <c r="K32" s="53" t="s">
        <v>160</v>
      </c>
      <c r="L32" s="74" t="s">
        <v>10</v>
      </c>
      <c r="M32" s="76">
        <v>4327</v>
      </c>
      <c r="N32" s="81" t="s">
        <v>117</v>
      </c>
      <c r="O32" s="66">
        <v>593000</v>
      </c>
      <c r="P32" s="66">
        <v>59300</v>
      </c>
      <c r="Q32" s="66">
        <f>8695.39</f>
        <v>8695.39</v>
      </c>
      <c r="R32" s="67">
        <f t="shared" si="7"/>
        <v>660995.39</v>
      </c>
      <c r="S32" s="73"/>
      <c r="T32" s="73">
        <f>601695.39</f>
        <v>601695.39</v>
      </c>
      <c r="U32" s="65">
        <f t="shared" si="8"/>
        <v>601695.39</v>
      </c>
      <c r="V32" s="64"/>
      <c r="W32" s="64">
        <f>59300</f>
        <v>59300</v>
      </c>
      <c r="X32" s="65">
        <f t="shared" si="9"/>
        <v>59300</v>
      </c>
      <c r="Y32" s="72"/>
      <c r="Z32" s="72"/>
      <c r="AA32" s="285">
        <v>42680</v>
      </c>
      <c r="AB32" s="286"/>
      <c r="AC32" s="291"/>
      <c r="AD32" s="72"/>
      <c r="AE32" s="72"/>
      <c r="AF32" s="72"/>
      <c r="AG32" s="72"/>
    </row>
    <row r="33" spans="1:33" s="54" customFormat="1" ht="51.75" thickBot="1">
      <c r="A33" s="77" t="s">
        <v>154</v>
      </c>
      <c r="B33" s="285">
        <v>42906</v>
      </c>
      <c r="C33" s="286"/>
      <c r="D33" s="286"/>
      <c r="E33" s="203" t="s">
        <v>286</v>
      </c>
      <c r="F33" s="179"/>
      <c r="G33" s="62" t="s">
        <v>152</v>
      </c>
      <c r="H33" s="263" t="s">
        <v>178</v>
      </c>
      <c r="I33" s="263" t="s">
        <v>310</v>
      </c>
      <c r="K33" s="225" t="s">
        <v>159</v>
      </c>
      <c r="L33" s="74" t="s">
        <v>10</v>
      </c>
      <c r="M33" s="76">
        <v>4449</v>
      </c>
      <c r="N33" s="81" t="s">
        <v>153</v>
      </c>
      <c r="O33" s="66">
        <v>200000</v>
      </c>
      <c r="P33" s="66">
        <v>20000</v>
      </c>
      <c r="Q33" s="66"/>
      <c r="R33" s="67">
        <f t="shared" si="7"/>
        <v>220000</v>
      </c>
      <c r="S33" s="73"/>
      <c r="T33" s="73">
        <v>200000</v>
      </c>
      <c r="U33" s="65">
        <f t="shared" si="8"/>
        <v>200000</v>
      </c>
      <c r="V33" s="64"/>
      <c r="W33" s="64">
        <v>20000</v>
      </c>
      <c r="X33" s="65">
        <f t="shared" si="9"/>
        <v>20000</v>
      </c>
      <c r="Y33" s="72"/>
      <c r="Z33" s="72"/>
      <c r="AA33" s="285">
        <v>42681</v>
      </c>
      <c r="AB33" s="286"/>
      <c r="AC33" s="291"/>
      <c r="AD33" s="72"/>
      <c r="AE33" s="72"/>
      <c r="AF33" s="72"/>
      <c r="AG33" s="72"/>
    </row>
    <row r="34" spans="1:33" s="54" customFormat="1" ht="64.5" thickBot="1">
      <c r="A34" s="77" t="s">
        <v>155</v>
      </c>
      <c r="B34" s="285">
        <v>42733</v>
      </c>
      <c r="C34" s="286"/>
      <c r="D34" s="286"/>
      <c r="E34" s="203" t="s">
        <v>286</v>
      </c>
      <c r="F34" s="179"/>
      <c r="G34" s="62" t="s">
        <v>156</v>
      </c>
      <c r="H34" s="263" t="s">
        <v>172</v>
      </c>
      <c r="I34" s="263" t="s">
        <v>302</v>
      </c>
      <c r="J34" s="266" t="s">
        <v>301</v>
      </c>
      <c r="K34" s="225" t="s">
        <v>104</v>
      </c>
      <c r="L34" s="74" t="s">
        <v>10</v>
      </c>
      <c r="M34" s="76">
        <v>4450</v>
      </c>
      <c r="N34" s="81" t="s">
        <v>157</v>
      </c>
      <c r="O34" s="66">
        <f>259026.91</f>
        <v>259026.91</v>
      </c>
      <c r="P34" s="66">
        <f>60366.3</f>
        <v>60366.3</v>
      </c>
      <c r="Q34" s="66"/>
      <c r="R34" s="67">
        <f t="shared" si="7"/>
        <v>319393.21000000002</v>
      </c>
      <c r="S34" s="73">
        <f>259026.91</f>
        <v>259026.91</v>
      </c>
      <c r="T34" s="73"/>
      <c r="U34" s="65">
        <f t="shared" si="8"/>
        <v>259026.91</v>
      </c>
      <c r="V34" s="64">
        <f>60366.3</f>
        <v>60366.3</v>
      </c>
      <c r="W34" s="64"/>
      <c r="X34" s="65">
        <f t="shared" si="9"/>
        <v>60366.3</v>
      </c>
      <c r="Y34" s="72"/>
      <c r="Z34" s="72"/>
      <c r="AA34" s="285">
        <v>42682</v>
      </c>
      <c r="AB34" s="286"/>
      <c r="AC34" s="291"/>
      <c r="AD34" s="72"/>
      <c r="AE34" s="72"/>
      <c r="AF34" s="72"/>
      <c r="AG34" s="72"/>
    </row>
    <row r="35" spans="1:33" s="278" customFormat="1" ht="22.9" customHeight="1" thickBot="1">
      <c r="A35" s="276" t="s">
        <v>4</v>
      </c>
      <c r="B35" s="292"/>
      <c r="C35" s="293"/>
      <c r="D35" s="293"/>
      <c r="E35" s="252"/>
      <c r="F35" s="253"/>
      <c r="G35" s="254"/>
      <c r="H35" s="254"/>
      <c r="I35" s="254"/>
      <c r="J35" s="247"/>
      <c r="K35" s="254"/>
      <c r="L35" s="248"/>
      <c r="M35" s="251"/>
      <c r="N35" s="255"/>
      <c r="O35" s="256">
        <f t="shared" ref="O35:X35" si="10">SUM(O27:O34)</f>
        <v>4193454.56</v>
      </c>
      <c r="P35" s="256">
        <f t="shared" si="10"/>
        <v>355314.55</v>
      </c>
      <c r="Q35" s="256">
        <f t="shared" si="10"/>
        <v>245480.05</v>
      </c>
      <c r="R35" s="256">
        <f t="shared" si="10"/>
        <v>4794249.16</v>
      </c>
      <c r="S35" s="256">
        <f t="shared" si="10"/>
        <v>2180419.0299999998</v>
      </c>
      <c r="T35" s="256">
        <f t="shared" si="10"/>
        <v>2144695.39</v>
      </c>
      <c r="U35" s="256">
        <f t="shared" si="10"/>
        <v>4325114.42</v>
      </c>
      <c r="V35" s="256">
        <f t="shared" si="10"/>
        <v>126125.65000000001</v>
      </c>
      <c r="W35" s="256">
        <f t="shared" si="10"/>
        <v>229188.9</v>
      </c>
      <c r="X35" s="256">
        <f t="shared" si="10"/>
        <v>355314.55</v>
      </c>
      <c r="Y35" s="277"/>
      <c r="Z35" s="277"/>
      <c r="AA35" s="292">
        <v>42683</v>
      </c>
      <c r="AB35" s="293"/>
      <c r="AC35" s="294"/>
      <c r="AD35" s="277"/>
      <c r="AE35" s="277"/>
      <c r="AF35" s="277"/>
      <c r="AG35" s="277"/>
    </row>
    <row r="36" spans="1:33" s="54" customFormat="1" ht="33.75" customHeight="1" thickBot="1">
      <c r="A36" s="102" t="s">
        <v>72</v>
      </c>
      <c r="B36" s="285">
        <v>43031</v>
      </c>
      <c r="C36" s="286"/>
      <c r="D36" s="286"/>
      <c r="E36" s="243" t="s">
        <v>285</v>
      </c>
      <c r="F36" s="179"/>
      <c r="G36" s="48" t="s">
        <v>211</v>
      </c>
      <c r="H36" s="264" t="s">
        <v>209</v>
      </c>
      <c r="I36" s="264" t="s">
        <v>257</v>
      </c>
      <c r="K36" s="53" t="s">
        <v>22</v>
      </c>
      <c r="L36" s="47" t="s">
        <v>51</v>
      </c>
      <c r="M36" s="75">
        <v>4202</v>
      </c>
      <c r="N36" s="80" t="s">
        <v>95</v>
      </c>
      <c r="O36" s="53">
        <v>250000</v>
      </c>
      <c r="P36" s="53">
        <v>27057.56</v>
      </c>
      <c r="Q36" s="53"/>
      <c r="R36" s="67">
        <f>SUM(O36:Q36)</f>
        <v>277057.56</v>
      </c>
      <c r="S36" s="50">
        <f>250000</f>
        <v>250000</v>
      </c>
      <c r="T36" s="50"/>
      <c r="U36" s="51">
        <f>SUM(S36:T36)</f>
        <v>250000</v>
      </c>
      <c r="V36" s="50">
        <f>27057.56</f>
        <v>27057.56</v>
      </c>
      <c r="W36" s="50"/>
      <c r="X36" s="51">
        <f>SUM(V36:W36)</f>
        <v>27057.56</v>
      </c>
      <c r="Y36" s="72"/>
      <c r="Z36" s="72"/>
      <c r="AA36" s="285">
        <v>42684</v>
      </c>
      <c r="AB36" s="286"/>
      <c r="AC36" s="291"/>
      <c r="AD36" s="72"/>
      <c r="AE36" s="72"/>
      <c r="AF36" s="72"/>
      <c r="AG36" s="72"/>
    </row>
    <row r="37" spans="1:33" s="278" customFormat="1" ht="22.9" customHeight="1" thickBot="1">
      <c r="A37" s="276" t="s">
        <v>4</v>
      </c>
      <c r="B37" s="292"/>
      <c r="C37" s="293"/>
      <c r="D37" s="293"/>
      <c r="E37" s="252"/>
      <c r="F37" s="253"/>
      <c r="G37" s="254"/>
      <c r="H37" s="254"/>
      <c r="I37" s="254"/>
      <c r="J37" s="247"/>
      <c r="K37" s="254"/>
      <c r="L37" s="248"/>
      <c r="M37" s="251"/>
      <c r="N37" s="255"/>
      <c r="O37" s="256">
        <f t="shared" ref="O37:X37" si="11">SUM(O36)</f>
        <v>250000</v>
      </c>
      <c r="P37" s="256">
        <f t="shared" si="11"/>
        <v>27057.56</v>
      </c>
      <c r="Q37" s="256">
        <f t="shared" si="11"/>
        <v>0</v>
      </c>
      <c r="R37" s="256">
        <f t="shared" si="11"/>
        <v>277057.56</v>
      </c>
      <c r="S37" s="256">
        <f t="shared" si="11"/>
        <v>250000</v>
      </c>
      <c r="T37" s="256">
        <f t="shared" si="11"/>
        <v>0</v>
      </c>
      <c r="U37" s="256">
        <f t="shared" si="11"/>
        <v>250000</v>
      </c>
      <c r="V37" s="256">
        <f t="shared" si="11"/>
        <v>27057.56</v>
      </c>
      <c r="W37" s="256">
        <f t="shared" si="11"/>
        <v>0</v>
      </c>
      <c r="X37" s="256">
        <f t="shared" si="11"/>
        <v>27057.56</v>
      </c>
      <c r="Y37" s="277"/>
      <c r="Z37" s="277"/>
      <c r="AA37" s="292">
        <v>42685</v>
      </c>
      <c r="AB37" s="293"/>
      <c r="AC37" s="294"/>
      <c r="AD37" s="277"/>
      <c r="AE37" s="277"/>
      <c r="AF37" s="277"/>
      <c r="AG37" s="277"/>
    </row>
    <row r="38" spans="1:33" s="54" customFormat="1" ht="31.5" customHeight="1" thickBot="1">
      <c r="A38" s="103" t="s">
        <v>44</v>
      </c>
      <c r="B38" s="332">
        <v>42155</v>
      </c>
      <c r="C38" s="333"/>
      <c r="D38" s="333"/>
      <c r="E38" s="242" t="s">
        <v>285</v>
      </c>
      <c r="F38" s="208"/>
      <c r="G38" s="55" t="s">
        <v>40</v>
      </c>
      <c r="H38" s="264" t="s">
        <v>198</v>
      </c>
      <c r="I38" s="264" t="s">
        <v>273</v>
      </c>
      <c r="J38" s="53"/>
      <c r="K38" s="264" t="s">
        <v>281</v>
      </c>
      <c r="L38" s="47" t="s">
        <v>6</v>
      </c>
      <c r="M38" s="79">
        <v>4035</v>
      </c>
      <c r="N38" s="83" t="s">
        <v>96</v>
      </c>
      <c r="O38" s="53">
        <v>500000</v>
      </c>
      <c r="P38" s="53">
        <v>50000</v>
      </c>
      <c r="Q38" s="53">
        <f>80581.06</f>
        <v>80581.06</v>
      </c>
      <c r="R38" s="67">
        <f>SUM(O38:Q38)</f>
        <v>630581.06000000006</v>
      </c>
      <c r="S38" s="57"/>
      <c r="T38" s="56">
        <f>88604.61</f>
        <v>88604.61</v>
      </c>
      <c r="U38" s="51">
        <f>SUM(S38:T38)</f>
        <v>88604.61</v>
      </c>
      <c r="V38" s="56">
        <f>50000</f>
        <v>50000</v>
      </c>
      <c r="W38" s="56"/>
      <c r="X38" s="51">
        <f>SUM(V38:W38)</f>
        <v>50000</v>
      </c>
      <c r="Y38" s="72"/>
      <c r="Z38" s="72"/>
      <c r="AA38" s="285">
        <v>42686</v>
      </c>
      <c r="AB38" s="286"/>
      <c r="AC38" s="291"/>
      <c r="AD38" s="72"/>
      <c r="AE38" s="72"/>
      <c r="AF38" s="72"/>
      <c r="AG38" s="72"/>
    </row>
    <row r="39" spans="1:33" s="54" customFormat="1" ht="31.5" customHeight="1" thickBot="1">
      <c r="A39" s="244" t="s">
        <v>271</v>
      </c>
      <c r="B39" s="285">
        <v>42724</v>
      </c>
      <c r="C39" s="286"/>
      <c r="D39" s="286"/>
      <c r="E39" s="203" t="s">
        <v>285</v>
      </c>
      <c r="F39" s="208"/>
      <c r="G39" s="55" t="s">
        <v>40</v>
      </c>
      <c r="H39" s="264" t="s">
        <v>205</v>
      </c>
      <c r="I39" s="55"/>
      <c r="J39" s="53"/>
      <c r="K39" s="264" t="s">
        <v>191</v>
      </c>
      <c r="L39" s="47" t="s">
        <v>6</v>
      </c>
      <c r="M39" s="79">
        <v>4134</v>
      </c>
      <c r="N39" s="83" t="s">
        <v>97</v>
      </c>
      <c r="O39" s="53">
        <v>550000</v>
      </c>
      <c r="P39" s="53">
        <v>55000</v>
      </c>
      <c r="Q39" s="53">
        <f>78608.51</f>
        <v>78608.509999999995</v>
      </c>
      <c r="R39" s="67">
        <f>SUM(O39:Q39)</f>
        <v>683608.51</v>
      </c>
      <c r="S39" s="57"/>
      <c r="T39" s="56">
        <f>219364.97</f>
        <v>219364.97</v>
      </c>
      <c r="U39" s="65">
        <f>SUM(S39:T39)</f>
        <v>219364.97</v>
      </c>
      <c r="V39" s="56">
        <f>55000</f>
        <v>55000</v>
      </c>
      <c r="W39" s="56"/>
      <c r="X39" s="65">
        <f>SUM(V39:W39)</f>
        <v>55000</v>
      </c>
      <c r="Y39" s="72"/>
      <c r="Z39" s="72"/>
      <c r="AA39" s="285">
        <v>42687</v>
      </c>
      <c r="AB39" s="286"/>
      <c r="AC39" s="291"/>
      <c r="AD39" s="72"/>
      <c r="AE39" s="72"/>
      <c r="AF39" s="72"/>
      <c r="AG39" s="72"/>
    </row>
    <row r="40" spans="1:33" s="54" customFormat="1" ht="44.25" customHeight="1" thickBot="1">
      <c r="A40" s="103" t="s">
        <v>126</v>
      </c>
      <c r="B40" s="285">
        <v>42734</v>
      </c>
      <c r="C40" s="286"/>
      <c r="D40" s="286"/>
      <c r="E40" s="241" t="s">
        <v>285</v>
      </c>
      <c r="F40" s="209"/>
      <c r="G40" s="55" t="s">
        <v>227</v>
      </c>
      <c r="H40" s="264" t="s">
        <v>127</v>
      </c>
      <c r="I40" s="264" t="s">
        <v>273</v>
      </c>
      <c r="J40" s="225" t="s">
        <v>128</v>
      </c>
      <c r="K40" s="273" t="s">
        <v>177</v>
      </c>
      <c r="L40" s="47" t="s">
        <v>6</v>
      </c>
      <c r="M40" s="79">
        <v>4363</v>
      </c>
      <c r="N40" s="83"/>
      <c r="O40" s="53">
        <f>660070</f>
        <v>660070</v>
      </c>
      <c r="P40" s="53">
        <v>660.73</v>
      </c>
      <c r="Q40" s="53">
        <f>1006.83</f>
        <v>1006.83</v>
      </c>
      <c r="R40" s="67">
        <f>SUM(O40:Q40)</f>
        <v>661737.55999999994</v>
      </c>
      <c r="S40" s="57">
        <f>661076.83</f>
        <v>661076.82999999996</v>
      </c>
      <c r="T40" s="56"/>
      <c r="U40" s="51">
        <f>SUM(S40:T40)</f>
        <v>661076.82999999996</v>
      </c>
      <c r="V40" s="56">
        <f>660.73</f>
        <v>660.73</v>
      </c>
      <c r="W40" s="56"/>
      <c r="X40" s="51">
        <f>SUM(V40:W40)</f>
        <v>660.73</v>
      </c>
      <c r="Y40" s="72"/>
      <c r="Z40" s="72"/>
      <c r="AA40" s="285">
        <v>42688</v>
      </c>
      <c r="AB40" s="286"/>
      <c r="AC40" s="291"/>
      <c r="AD40" s="72"/>
      <c r="AE40" s="72"/>
      <c r="AF40" s="72"/>
      <c r="AG40" s="72"/>
    </row>
    <row r="41" spans="1:33" s="278" customFormat="1" ht="22.9" customHeight="1" thickBot="1">
      <c r="A41" s="276" t="s">
        <v>4</v>
      </c>
      <c r="B41" s="292"/>
      <c r="C41" s="293"/>
      <c r="D41" s="293"/>
      <c r="E41" s="252"/>
      <c r="F41" s="280"/>
      <c r="G41" s="281"/>
      <c r="H41" s="281"/>
      <c r="I41" s="281"/>
      <c r="J41" s="247"/>
      <c r="K41" s="281"/>
      <c r="L41" s="248"/>
      <c r="M41" s="282"/>
      <c r="N41" s="283"/>
      <c r="O41" s="251">
        <f t="shared" ref="O41:X41" si="12">SUM(O38:O40)</f>
        <v>1710070</v>
      </c>
      <c r="P41" s="251">
        <f t="shared" si="12"/>
        <v>105660.73</v>
      </c>
      <c r="Q41" s="251">
        <f t="shared" si="12"/>
        <v>160196.4</v>
      </c>
      <c r="R41" s="251">
        <f t="shared" si="12"/>
        <v>1975927.13</v>
      </c>
      <c r="S41" s="251">
        <f t="shared" si="12"/>
        <v>661076.82999999996</v>
      </c>
      <c r="T41" s="251">
        <f t="shared" si="12"/>
        <v>307969.58</v>
      </c>
      <c r="U41" s="251">
        <f t="shared" si="12"/>
        <v>969046.40999999992</v>
      </c>
      <c r="V41" s="251">
        <f t="shared" si="12"/>
        <v>105660.73</v>
      </c>
      <c r="W41" s="251">
        <f t="shared" si="12"/>
        <v>0</v>
      </c>
      <c r="X41" s="251">
        <f t="shared" si="12"/>
        <v>105660.73</v>
      </c>
      <c r="Y41" s="277"/>
      <c r="Z41" s="277"/>
      <c r="AA41" s="292">
        <v>42689</v>
      </c>
      <c r="AB41" s="293"/>
      <c r="AC41" s="294"/>
      <c r="AD41" s="277"/>
      <c r="AE41" s="277"/>
      <c r="AF41" s="277"/>
      <c r="AG41" s="277"/>
    </row>
    <row r="42" spans="1:33" s="54" customFormat="1" ht="33.75" customHeight="1" thickBot="1">
      <c r="A42" s="104" t="s">
        <v>35</v>
      </c>
      <c r="B42" s="285">
        <v>42735</v>
      </c>
      <c r="C42" s="286"/>
      <c r="D42" s="286"/>
      <c r="E42" s="243" t="s">
        <v>285</v>
      </c>
      <c r="F42" s="210"/>
      <c r="G42" s="94" t="s">
        <v>28</v>
      </c>
      <c r="H42" s="273" t="s">
        <v>194</v>
      </c>
      <c r="I42" s="94"/>
      <c r="J42" s="95"/>
      <c r="K42" s="273" t="s">
        <v>177</v>
      </c>
      <c r="L42" s="91" t="s">
        <v>8</v>
      </c>
      <c r="M42" s="92">
        <v>3777</v>
      </c>
      <c r="N42" s="93" t="s">
        <v>98</v>
      </c>
      <c r="O42" s="97">
        <v>240000</v>
      </c>
      <c r="P42" s="97">
        <v>2424.25</v>
      </c>
      <c r="Q42" s="97">
        <f>43485.49</f>
        <v>43485.49</v>
      </c>
      <c r="R42" s="67">
        <f>SUM(O42:Q42)</f>
        <v>285909.74</v>
      </c>
      <c r="S42" s="68">
        <f>2205.93</f>
        <v>2205.9299999999998</v>
      </c>
      <c r="T42" s="49"/>
      <c r="U42" s="51">
        <f>SUM(S42:T42)</f>
        <v>2205.9299999999998</v>
      </c>
      <c r="V42" s="68">
        <v>0</v>
      </c>
      <c r="W42" s="49"/>
      <c r="X42" s="51">
        <f>SUM(V42:W42)</f>
        <v>0</v>
      </c>
      <c r="Y42" s="72"/>
      <c r="Z42" s="72"/>
      <c r="AA42" s="285">
        <v>42690</v>
      </c>
      <c r="AB42" s="286"/>
      <c r="AC42" s="291"/>
      <c r="AD42" s="72"/>
      <c r="AE42" s="72"/>
      <c r="AF42" s="72"/>
      <c r="AG42" s="72"/>
    </row>
    <row r="43" spans="1:33" s="278" customFormat="1" ht="22.9" customHeight="1" thickBot="1">
      <c r="A43" s="279" t="s">
        <v>4</v>
      </c>
      <c r="B43" s="292">
        <v>42691</v>
      </c>
      <c r="C43" s="293"/>
      <c r="D43" s="293"/>
      <c r="E43" s="252"/>
      <c r="F43" s="253"/>
      <c r="G43" s="254"/>
      <c r="H43" s="254"/>
      <c r="I43" s="254"/>
      <c r="J43" s="247"/>
      <c r="K43" s="254"/>
      <c r="L43" s="248"/>
      <c r="M43" s="251"/>
      <c r="N43" s="255"/>
      <c r="O43" s="251">
        <f t="shared" ref="O43:X43" si="13">SUM(O42:O42)</f>
        <v>240000</v>
      </c>
      <c r="P43" s="251">
        <f t="shared" si="13"/>
        <v>2424.25</v>
      </c>
      <c r="Q43" s="251">
        <f t="shared" si="13"/>
        <v>43485.49</v>
      </c>
      <c r="R43" s="251">
        <f t="shared" si="13"/>
        <v>285909.74</v>
      </c>
      <c r="S43" s="251">
        <f t="shared" si="13"/>
        <v>2205.9299999999998</v>
      </c>
      <c r="T43" s="251">
        <f t="shared" si="13"/>
        <v>0</v>
      </c>
      <c r="U43" s="251">
        <f t="shared" si="13"/>
        <v>2205.9299999999998</v>
      </c>
      <c r="V43" s="251">
        <f t="shared" si="13"/>
        <v>0</v>
      </c>
      <c r="W43" s="251">
        <f t="shared" si="13"/>
        <v>0</v>
      </c>
      <c r="X43" s="251">
        <f t="shared" si="13"/>
        <v>0</v>
      </c>
      <c r="Y43" s="277"/>
      <c r="Z43" s="277"/>
      <c r="AA43" s="292">
        <v>42691</v>
      </c>
      <c r="AB43" s="293"/>
      <c r="AC43" s="294"/>
      <c r="AD43" s="277"/>
      <c r="AE43" s="277"/>
      <c r="AF43" s="277"/>
      <c r="AG43" s="277"/>
    </row>
    <row r="44" spans="1:33" s="54" customFormat="1" ht="127.5" customHeight="1" thickBot="1">
      <c r="A44" s="102" t="s">
        <v>30</v>
      </c>
      <c r="B44" s="285">
        <v>42692</v>
      </c>
      <c r="C44" s="286"/>
      <c r="D44" s="286"/>
      <c r="E44" s="242" t="s">
        <v>285</v>
      </c>
      <c r="F44" s="208"/>
      <c r="G44" s="48" t="s">
        <v>29</v>
      </c>
      <c r="H44" s="264" t="s">
        <v>199</v>
      </c>
      <c r="I44" s="48"/>
      <c r="J44" s="53"/>
      <c r="K44" s="53" t="s">
        <v>160</v>
      </c>
      <c r="L44" s="47" t="s">
        <v>15</v>
      </c>
      <c r="M44" s="75">
        <f>3964</f>
        <v>3964</v>
      </c>
      <c r="N44" s="80" t="s">
        <v>99</v>
      </c>
      <c r="O44" s="53">
        <v>1408435.58</v>
      </c>
      <c r="P44" s="53">
        <v>15439</v>
      </c>
      <c r="Q44" s="53">
        <f>244660.92</f>
        <v>244660.92</v>
      </c>
      <c r="R44" s="67">
        <f>SUM(O44:Q44)</f>
        <v>1668535.5</v>
      </c>
      <c r="S44" s="125">
        <v>1035614.41</v>
      </c>
      <c r="T44" s="50"/>
      <c r="U44" s="51">
        <f>SUM(S44:T44)</f>
        <v>1035614.41</v>
      </c>
      <c r="V44" s="50">
        <f>15439</f>
        <v>15439</v>
      </c>
      <c r="W44" s="50"/>
      <c r="X44" s="51">
        <f>SUM(V44:W44)</f>
        <v>15439</v>
      </c>
      <c r="Y44" s="72"/>
      <c r="Z44" s="72"/>
      <c r="AA44" s="285">
        <v>42692</v>
      </c>
      <c r="AB44" s="286"/>
      <c r="AC44" s="291"/>
      <c r="AD44" s="72"/>
      <c r="AE44" s="72"/>
      <c r="AF44" s="72"/>
      <c r="AG44" s="72"/>
    </row>
    <row r="45" spans="1:33" s="54" customFormat="1" ht="63.75" customHeight="1" thickBot="1">
      <c r="A45" s="77" t="s">
        <v>38</v>
      </c>
      <c r="B45" s="285">
        <v>42735</v>
      </c>
      <c r="C45" s="286"/>
      <c r="D45" s="286"/>
      <c r="E45" s="203" t="s">
        <v>285</v>
      </c>
      <c r="F45" s="208"/>
      <c r="G45" s="62" t="s">
        <v>212</v>
      </c>
      <c r="H45" s="263" t="s">
        <v>213</v>
      </c>
      <c r="I45" s="62"/>
      <c r="J45" s="53"/>
      <c r="K45" s="53" t="s">
        <v>160</v>
      </c>
      <c r="L45" s="61" t="s">
        <v>15</v>
      </c>
      <c r="M45" s="76">
        <v>4003</v>
      </c>
      <c r="N45" s="81" t="s">
        <v>100</v>
      </c>
      <c r="O45" s="66">
        <v>562455.87</v>
      </c>
      <c r="P45" s="66">
        <v>5681.37</v>
      </c>
      <c r="Q45" s="66">
        <f>108153.55</f>
        <v>108153.55</v>
      </c>
      <c r="R45" s="67">
        <f>SUM(O45:Q45)</f>
        <v>676290.79</v>
      </c>
      <c r="S45" s="64">
        <f>632111.16</f>
        <v>632111.16</v>
      </c>
      <c r="T45" s="64"/>
      <c r="U45" s="65">
        <f>SUM(S45:T45)</f>
        <v>632111.16</v>
      </c>
      <c r="V45" s="64">
        <f>5681.37</f>
        <v>5681.37</v>
      </c>
      <c r="W45" s="64"/>
      <c r="X45" s="65">
        <f>SUM(V45:W45)</f>
        <v>5681.37</v>
      </c>
      <c r="Y45" s="72"/>
      <c r="Z45" s="72"/>
      <c r="AA45" s="285">
        <v>42693</v>
      </c>
      <c r="AB45" s="286"/>
      <c r="AC45" s="291"/>
      <c r="AD45" s="72"/>
      <c r="AE45" s="72"/>
      <c r="AF45" s="72"/>
      <c r="AG45" s="72"/>
    </row>
    <row r="46" spans="1:33" s="54" customFormat="1" ht="89.25" customHeight="1" thickBot="1">
      <c r="A46" s="77" t="s">
        <v>52</v>
      </c>
      <c r="B46" s="285">
        <v>42735</v>
      </c>
      <c r="C46" s="286"/>
      <c r="D46" s="286"/>
      <c r="E46" s="203" t="s">
        <v>285</v>
      </c>
      <c r="F46" s="208"/>
      <c r="G46" s="62" t="s">
        <v>62</v>
      </c>
      <c r="H46" s="263" t="s">
        <v>214</v>
      </c>
      <c r="I46" s="62"/>
      <c r="J46" s="53"/>
      <c r="K46" s="53" t="s">
        <v>160</v>
      </c>
      <c r="L46" s="61" t="s">
        <v>15</v>
      </c>
      <c r="M46" s="76">
        <v>4166</v>
      </c>
      <c r="N46" s="81" t="s">
        <v>101</v>
      </c>
      <c r="O46" s="66">
        <v>112352.8</v>
      </c>
      <c r="P46" s="66">
        <v>1200</v>
      </c>
      <c r="Q46" s="66">
        <f>14215.6</f>
        <v>14215.6</v>
      </c>
      <c r="R46" s="67">
        <f>SUM(O46:Q46)</f>
        <v>127768.40000000001</v>
      </c>
      <c r="S46" s="64">
        <f>82178.88</f>
        <v>82178.880000000005</v>
      </c>
      <c r="T46" s="64"/>
      <c r="U46" s="65">
        <f>SUM(S46:T46)</f>
        <v>82178.880000000005</v>
      </c>
      <c r="V46" s="64">
        <f>1200</f>
        <v>1200</v>
      </c>
      <c r="W46" s="64"/>
      <c r="X46" s="65">
        <f>SUM(V46:W46)</f>
        <v>1200</v>
      </c>
      <c r="Y46" s="72"/>
      <c r="Z46" s="72"/>
      <c r="AA46" s="285">
        <v>42694</v>
      </c>
      <c r="AB46" s="286"/>
      <c r="AC46" s="291"/>
      <c r="AD46" s="72"/>
      <c r="AE46" s="72"/>
      <c r="AF46" s="72"/>
      <c r="AG46" s="72"/>
    </row>
    <row r="47" spans="1:33" s="54" customFormat="1" ht="76.5" customHeight="1" thickBot="1">
      <c r="A47" s="77" t="s">
        <v>73</v>
      </c>
      <c r="B47" s="285">
        <v>42695</v>
      </c>
      <c r="C47" s="286"/>
      <c r="D47" s="286"/>
      <c r="E47" s="203" t="s">
        <v>285</v>
      </c>
      <c r="F47" s="206"/>
      <c r="G47" s="62" t="s">
        <v>75</v>
      </c>
      <c r="H47" s="263" t="s">
        <v>216</v>
      </c>
      <c r="I47" s="62"/>
      <c r="J47" s="66"/>
      <c r="K47" s="53" t="s">
        <v>160</v>
      </c>
      <c r="L47" s="61" t="s">
        <v>15</v>
      </c>
      <c r="M47" s="76">
        <v>4255</v>
      </c>
      <c r="N47" s="81" t="s">
        <v>102</v>
      </c>
      <c r="O47" s="66">
        <v>1533629.68</v>
      </c>
      <c r="P47" s="66">
        <v>22600</v>
      </c>
      <c r="Q47" s="66">
        <f>183030.74</f>
        <v>183030.74</v>
      </c>
      <c r="R47" s="67">
        <f>SUM(O47:Q47)</f>
        <v>1739260.42</v>
      </c>
      <c r="S47" s="64">
        <f>1694525.99</f>
        <v>1694525.99</v>
      </c>
      <c r="T47" s="64"/>
      <c r="U47" s="65">
        <f>SUM(S47:T47)</f>
        <v>1694525.99</v>
      </c>
      <c r="V47" s="64">
        <f>22600</f>
        <v>22600</v>
      </c>
      <c r="W47" s="64"/>
      <c r="X47" s="51">
        <f>SUM(V47:W47)</f>
        <v>22600</v>
      </c>
      <c r="AA47" s="285">
        <v>42695</v>
      </c>
      <c r="AB47" s="286"/>
      <c r="AC47" s="291"/>
    </row>
    <row r="48" spans="1:33" s="54" customFormat="1" ht="76.5" customHeight="1" thickBot="1">
      <c r="A48" s="77" t="s">
        <v>163</v>
      </c>
      <c r="B48" s="287">
        <v>42723</v>
      </c>
      <c r="C48" s="288"/>
      <c r="D48" s="288"/>
      <c r="E48" s="203" t="s">
        <v>286</v>
      </c>
      <c r="F48" s="198"/>
      <c r="G48" s="62" t="s">
        <v>170</v>
      </c>
      <c r="H48" s="263" t="s">
        <v>171</v>
      </c>
      <c r="I48" s="262" t="s">
        <v>308</v>
      </c>
      <c r="J48" s="258" t="s">
        <v>162</v>
      </c>
      <c r="K48" s="192"/>
      <c r="L48" s="61"/>
      <c r="M48" s="76"/>
      <c r="N48" s="81"/>
      <c r="O48" s="193">
        <v>300000</v>
      </c>
      <c r="P48" s="66" t="s">
        <v>164</v>
      </c>
      <c r="Q48" s="66"/>
      <c r="R48" s="67">
        <f>SUM(O48:P48)+30000</f>
        <v>330000</v>
      </c>
      <c r="S48" s="64">
        <v>3</v>
      </c>
      <c r="T48" s="64"/>
      <c r="U48" s="65"/>
      <c r="V48" s="64"/>
      <c r="W48" s="64"/>
      <c r="X48" s="51"/>
      <c r="AA48" s="287"/>
      <c r="AB48" s="288"/>
      <c r="AC48" s="321"/>
    </row>
    <row r="49" spans="1:29" s="54" customFormat="1" ht="76.5" customHeight="1" thickBot="1">
      <c r="A49" s="77" t="s">
        <v>161</v>
      </c>
      <c r="B49" s="287">
        <v>41808</v>
      </c>
      <c r="C49" s="288"/>
      <c r="D49" s="288"/>
      <c r="E49" s="203" t="s">
        <v>262</v>
      </c>
      <c r="F49" s="198"/>
      <c r="G49" s="62" t="s">
        <v>170</v>
      </c>
      <c r="I49" s="263" t="s">
        <v>315</v>
      </c>
      <c r="J49" s="270" t="s">
        <v>162</v>
      </c>
      <c r="K49" s="192"/>
      <c r="L49" s="61"/>
      <c r="M49" s="76"/>
      <c r="N49" s="81"/>
      <c r="O49" s="193">
        <v>100000</v>
      </c>
      <c r="P49" s="66">
        <v>10000</v>
      </c>
      <c r="Q49" s="66"/>
      <c r="R49" s="67">
        <f>SUM(O49:P49)</f>
        <v>110000</v>
      </c>
      <c r="S49" s="64"/>
      <c r="T49" s="64"/>
      <c r="U49" s="65"/>
      <c r="V49" s="64"/>
      <c r="W49" s="64"/>
      <c r="X49" s="51"/>
      <c r="AA49" s="287"/>
      <c r="AB49" s="288"/>
      <c r="AC49" s="321"/>
    </row>
    <row r="50" spans="1:29" s="54" customFormat="1" ht="76.5" customHeight="1" thickBot="1">
      <c r="A50" s="77" t="s">
        <v>166</v>
      </c>
      <c r="B50" s="287">
        <v>41991</v>
      </c>
      <c r="C50" s="288"/>
      <c r="D50" s="288"/>
      <c r="E50" s="203" t="s">
        <v>286</v>
      </c>
      <c r="F50" s="199"/>
      <c r="G50" s="62" t="s">
        <v>170</v>
      </c>
      <c r="H50" s="263" t="s">
        <v>171</v>
      </c>
      <c r="I50" s="263" t="s">
        <v>308</v>
      </c>
      <c r="J50" s="270" t="s">
        <v>162</v>
      </c>
      <c r="K50" s="192"/>
      <c r="L50" s="61"/>
      <c r="M50" s="76"/>
      <c r="N50" s="81"/>
      <c r="O50" s="193">
        <v>200000</v>
      </c>
      <c r="P50" s="66">
        <v>20000</v>
      </c>
      <c r="Q50" s="66"/>
      <c r="R50" s="67">
        <f>SUM(O50:P50)</f>
        <v>220000</v>
      </c>
      <c r="S50" s="64"/>
      <c r="T50" s="64"/>
      <c r="U50" s="65"/>
      <c r="V50" s="64"/>
      <c r="W50" s="64"/>
      <c r="X50" s="51"/>
      <c r="AA50" s="175"/>
      <c r="AB50" s="176"/>
      <c r="AC50" s="177"/>
    </row>
    <row r="51" spans="1:29" s="54" customFormat="1" ht="76.5" customHeight="1" thickBot="1">
      <c r="A51" s="77" t="s">
        <v>175</v>
      </c>
      <c r="B51" s="287">
        <v>42712</v>
      </c>
      <c r="C51" s="288"/>
      <c r="D51" s="288"/>
      <c r="E51" s="203" t="s">
        <v>286</v>
      </c>
      <c r="F51" s="211"/>
      <c r="G51" s="62" t="s">
        <v>170</v>
      </c>
      <c r="H51" s="263" t="s">
        <v>176</v>
      </c>
      <c r="I51" s="262" t="s">
        <v>309</v>
      </c>
      <c r="J51" s="196"/>
      <c r="K51" s="259" t="s">
        <v>177</v>
      </c>
      <c r="L51" s="61"/>
      <c r="M51" s="76"/>
      <c r="N51" s="81"/>
      <c r="O51" s="193">
        <v>298905</v>
      </c>
      <c r="P51" s="66"/>
      <c r="Q51" s="66"/>
      <c r="R51" s="67"/>
      <c r="S51" s="64"/>
      <c r="T51" s="64"/>
      <c r="U51" s="65"/>
      <c r="V51" s="64"/>
      <c r="W51" s="64"/>
      <c r="X51" s="51"/>
      <c r="AA51" s="180"/>
      <c r="AB51" s="181"/>
      <c r="AC51" s="182"/>
    </row>
    <row r="52" spans="1:29" s="54" customFormat="1" ht="76.5" customHeight="1" thickBot="1">
      <c r="A52" s="77" t="s">
        <v>179</v>
      </c>
      <c r="B52" s="287">
        <v>42913</v>
      </c>
      <c r="C52" s="288"/>
      <c r="D52" s="288"/>
      <c r="E52" s="203" t="s">
        <v>286</v>
      </c>
      <c r="F52" s="211"/>
      <c r="G52" s="62" t="s">
        <v>180</v>
      </c>
      <c r="H52" s="263" t="s">
        <v>171</v>
      </c>
      <c r="I52" s="262" t="s">
        <v>308</v>
      </c>
      <c r="J52" s="196"/>
      <c r="K52" s="259" t="s">
        <v>181</v>
      </c>
      <c r="L52" s="61"/>
      <c r="M52" s="76"/>
      <c r="N52" s="81"/>
      <c r="O52" s="193">
        <v>200000</v>
      </c>
      <c r="P52" s="66">
        <v>20000</v>
      </c>
      <c r="Q52" s="66"/>
      <c r="R52" s="67">
        <f>SUM(O52:P52)</f>
        <v>220000</v>
      </c>
      <c r="S52" s="64"/>
      <c r="T52" s="64"/>
      <c r="U52" s="65"/>
      <c r="V52" s="64"/>
      <c r="W52" s="64"/>
      <c r="X52" s="51"/>
      <c r="AA52" s="180"/>
      <c r="AB52" s="181"/>
      <c r="AC52" s="182"/>
    </row>
    <row r="53" spans="1:29" s="54" customFormat="1" ht="76.5" customHeight="1" thickBot="1">
      <c r="A53" s="77" t="s">
        <v>182</v>
      </c>
      <c r="B53" s="287">
        <v>43463</v>
      </c>
      <c r="C53" s="288"/>
      <c r="D53" s="288"/>
      <c r="E53" s="203" t="s">
        <v>262</v>
      </c>
      <c r="F53" s="211"/>
      <c r="G53" s="62" t="s">
        <v>183</v>
      </c>
      <c r="H53" s="263" t="s">
        <v>171</v>
      </c>
      <c r="I53" s="262" t="s">
        <v>308</v>
      </c>
      <c r="J53" s="196"/>
      <c r="K53" s="259" t="s">
        <v>177</v>
      </c>
      <c r="L53" s="61"/>
      <c r="M53" s="76"/>
      <c r="N53" s="81"/>
      <c r="O53" s="193">
        <v>308254.55</v>
      </c>
      <c r="P53" s="66"/>
      <c r="Q53" s="66"/>
      <c r="R53" s="67"/>
      <c r="S53" s="64"/>
      <c r="T53" s="64"/>
      <c r="U53" s="65"/>
      <c r="V53" s="64"/>
      <c r="W53" s="64"/>
      <c r="X53" s="51"/>
      <c r="AA53" s="180"/>
      <c r="AB53" s="181"/>
      <c r="AC53" s="182"/>
    </row>
    <row r="54" spans="1:29" s="54" customFormat="1" ht="76.5" customHeight="1" thickBot="1">
      <c r="A54" s="77" t="s">
        <v>184</v>
      </c>
      <c r="B54" s="287">
        <v>42734</v>
      </c>
      <c r="C54" s="288"/>
      <c r="D54" s="288"/>
      <c r="E54" s="203" t="s">
        <v>262</v>
      </c>
      <c r="F54" s="211"/>
      <c r="G54" s="62" t="s">
        <v>170</v>
      </c>
      <c r="H54" s="263" t="s">
        <v>171</v>
      </c>
      <c r="I54" s="262" t="s">
        <v>308</v>
      </c>
      <c r="J54" s="196"/>
      <c r="K54" s="259" t="s">
        <v>185</v>
      </c>
      <c r="L54" s="61"/>
      <c r="M54" s="76"/>
      <c r="N54" s="81"/>
      <c r="O54" s="193">
        <v>200000</v>
      </c>
      <c r="P54" s="66">
        <v>20000</v>
      </c>
      <c r="Q54" s="66"/>
      <c r="R54" s="67">
        <f t="shared" ref="R54:R72" si="14">SUM(O54:P54)</f>
        <v>220000</v>
      </c>
      <c r="S54" s="64"/>
      <c r="T54" s="64"/>
      <c r="U54" s="65"/>
      <c r="V54" s="64"/>
      <c r="W54" s="64"/>
      <c r="X54" s="51"/>
      <c r="AA54" s="180"/>
      <c r="AB54" s="181"/>
      <c r="AC54" s="182"/>
    </row>
    <row r="55" spans="1:29" s="54" customFormat="1" ht="76.5" customHeight="1" thickBot="1">
      <c r="A55" s="77" t="s">
        <v>186</v>
      </c>
      <c r="B55" s="287">
        <v>42913</v>
      </c>
      <c r="C55" s="288"/>
      <c r="D55" s="288"/>
      <c r="E55" s="203" t="s">
        <v>286</v>
      </c>
      <c r="F55" s="211"/>
      <c r="G55" s="62" t="s">
        <v>187</v>
      </c>
      <c r="H55" s="263" t="s">
        <v>171</v>
      </c>
      <c r="I55" s="192"/>
      <c r="J55" s="196"/>
      <c r="K55" s="259" t="s">
        <v>333</v>
      </c>
      <c r="L55" s="61"/>
      <c r="M55" s="76"/>
      <c r="N55" s="81"/>
      <c r="O55" s="193">
        <v>100000</v>
      </c>
      <c r="P55" s="66">
        <v>10000</v>
      </c>
      <c r="Q55" s="66"/>
      <c r="R55" s="67">
        <f t="shared" si="14"/>
        <v>110000</v>
      </c>
      <c r="S55" s="64"/>
      <c r="T55" s="64"/>
      <c r="U55" s="65"/>
      <c r="V55" s="64"/>
      <c r="W55" s="64"/>
      <c r="X55" s="51"/>
      <c r="AA55" s="180"/>
      <c r="AB55" s="181"/>
      <c r="AC55" s="182"/>
    </row>
    <row r="56" spans="1:29" s="54" customFormat="1" ht="76.5" customHeight="1" thickBot="1">
      <c r="A56" s="77" t="s">
        <v>188</v>
      </c>
      <c r="B56" s="287">
        <v>42916</v>
      </c>
      <c r="C56" s="288"/>
      <c r="D56" s="288"/>
      <c r="E56" s="203" t="s">
        <v>286</v>
      </c>
      <c r="F56" s="211"/>
      <c r="G56" s="62" t="s">
        <v>187</v>
      </c>
      <c r="H56" s="263" t="s">
        <v>171</v>
      </c>
      <c r="I56" s="192"/>
      <c r="J56" s="196"/>
      <c r="K56" s="259" t="s">
        <v>177</v>
      </c>
      <c r="L56" s="61"/>
      <c r="M56" s="76"/>
      <c r="N56" s="81"/>
      <c r="O56" s="193">
        <v>200000</v>
      </c>
      <c r="P56" s="66">
        <v>20000</v>
      </c>
      <c r="Q56" s="66"/>
      <c r="R56" s="67">
        <f t="shared" si="14"/>
        <v>220000</v>
      </c>
      <c r="S56" s="64"/>
      <c r="T56" s="64"/>
      <c r="U56" s="65"/>
      <c r="V56" s="64"/>
      <c r="W56" s="64"/>
      <c r="X56" s="51"/>
      <c r="AA56" s="180"/>
      <c r="AB56" s="181"/>
      <c r="AC56" s="182"/>
    </row>
    <row r="57" spans="1:29" s="54" customFormat="1" ht="76.5" customHeight="1" thickBot="1">
      <c r="A57" s="77" t="s">
        <v>189</v>
      </c>
      <c r="B57" s="287">
        <v>42913</v>
      </c>
      <c r="C57" s="288"/>
      <c r="D57" s="288"/>
      <c r="E57" s="203" t="s">
        <v>286</v>
      </c>
      <c r="F57" s="211"/>
      <c r="G57" s="62" t="s">
        <v>180</v>
      </c>
      <c r="H57" s="263" t="s">
        <v>171</v>
      </c>
      <c r="I57" s="192"/>
      <c r="J57" s="196"/>
      <c r="K57" s="259" t="s">
        <v>177</v>
      </c>
      <c r="L57" s="61"/>
      <c r="M57" s="76"/>
      <c r="N57" s="81"/>
      <c r="O57" s="193">
        <v>100000</v>
      </c>
      <c r="P57" s="66">
        <v>10000</v>
      </c>
      <c r="Q57" s="66"/>
      <c r="R57" s="67">
        <f t="shared" si="14"/>
        <v>110000</v>
      </c>
      <c r="S57" s="64"/>
      <c r="T57" s="64"/>
      <c r="U57" s="65"/>
      <c r="V57" s="64"/>
      <c r="W57" s="64"/>
      <c r="X57" s="51"/>
      <c r="AA57" s="180"/>
      <c r="AB57" s="181"/>
      <c r="AC57" s="182"/>
    </row>
    <row r="58" spans="1:29" s="54" customFormat="1" ht="76.5" customHeight="1" thickBot="1">
      <c r="A58" s="77" t="s">
        <v>190</v>
      </c>
      <c r="B58" s="287">
        <v>42908</v>
      </c>
      <c r="C58" s="288"/>
      <c r="D58" s="288"/>
      <c r="E58" s="203" t="s">
        <v>286</v>
      </c>
      <c r="F58" s="211"/>
      <c r="G58" s="62" t="s">
        <v>180</v>
      </c>
      <c r="H58" s="263" t="s">
        <v>171</v>
      </c>
      <c r="I58" s="192"/>
      <c r="J58" s="196"/>
      <c r="K58" s="259" t="s">
        <v>177</v>
      </c>
      <c r="L58" s="61"/>
      <c r="M58" s="76"/>
      <c r="N58" s="81"/>
      <c r="O58" s="193">
        <v>585000</v>
      </c>
      <c r="P58" s="66">
        <v>5500</v>
      </c>
      <c r="Q58" s="66"/>
      <c r="R58" s="67">
        <f t="shared" si="14"/>
        <v>590500</v>
      </c>
      <c r="S58" s="64"/>
      <c r="T58" s="64"/>
      <c r="U58" s="65"/>
      <c r="V58" s="64"/>
      <c r="W58" s="64"/>
      <c r="X58" s="51"/>
      <c r="AA58" s="180"/>
      <c r="AB58" s="181"/>
      <c r="AC58" s="182"/>
    </row>
    <row r="59" spans="1:29" s="54" customFormat="1" ht="76.5" customHeight="1" thickBot="1">
      <c r="A59" s="77" t="s">
        <v>192</v>
      </c>
      <c r="B59" s="287">
        <v>42369</v>
      </c>
      <c r="C59" s="288"/>
      <c r="D59" s="288"/>
      <c r="E59" s="203"/>
      <c r="F59" s="211"/>
      <c r="H59" s="62" t="s">
        <v>234</v>
      </c>
      <c r="I59" s="262" t="s">
        <v>282</v>
      </c>
      <c r="J59" s="196"/>
      <c r="K59" s="259" t="s">
        <v>193</v>
      </c>
      <c r="L59" s="61"/>
      <c r="M59" s="76"/>
      <c r="N59" s="81"/>
      <c r="O59" s="193">
        <v>2644230.6</v>
      </c>
      <c r="P59" s="66">
        <v>293944.81</v>
      </c>
      <c r="Q59" s="66"/>
      <c r="R59" s="67">
        <f t="shared" si="14"/>
        <v>2938175.41</v>
      </c>
      <c r="S59" s="64"/>
      <c r="T59" s="64"/>
      <c r="U59" s="65"/>
      <c r="V59" s="64"/>
      <c r="W59" s="64"/>
      <c r="X59" s="51"/>
      <c r="AA59" s="180"/>
      <c r="AB59" s="181"/>
      <c r="AC59" s="182"/>
    </row>
    <row r="60" spans="1:29" s="54" customFormat="1" ht="76.5" customHeight="1" thickBot="1">
      <c r="A60" s="77" t="s">
        <v>195</v>
      </c>
      <c r="B60" s="287">
        <v>42671</v>
      </c>
      <c r="C60" s="288"/>
      <c r="D60" s="288"/>
      <c r="E60" s="203" t="s">
        <v>285</v>
      </c>
      <c r="F60" s="211"/>
      <c r="G60" s="62" t="s">
        <v>196</v>
      </c>
      <c r="H60" s="263" t="s">
        <v>243</v>
      </c>
      <c r="I60" s="262" t="s">
        <v>257</v>
      </c>
      <c r="J60" s="196"/>
      <c r="K60" s="272" t="s">
        <v>197</v>
      </c>
      <c r="L60" s="61"/>
      <c r="M60" s="76"/>
      <c r="N60" s="81"/>
      <c r="O60" s="193">
        <v>200000</v>
      </c>
      <c r="P60" s="66">
        <v>22225</v>
      </c>
      <c r="Q60" s="66"/>
      <c r="R60" s="67">
        <f t="shared" si="14"/>
        <v>222225</v>
      </c>
      <c r="S60" s="64"/>
      <c r="T60" s="64"/>
      <c r="U60" s="65"/>
      <c r="V60" s="64"/>
      <c r="W60" s="64"/>
      <c r="X60" s="51"/>
      <c r="AA60" s="180"/>
      <c r="AB60" s="181"/>
      <c r="AC60" s="182"/>
    </row>
    <row r="61" spans="1:29" s="54" customFormat="1" ht="76.5" customHeight="1" thickBot="1">
      <c r="A61" s="77" t="s">
        <v>200</v>
      </c>
      <c r="B61" s="287">
        <v>42216</v>
      </c>
      <c r="C61" s="288"/>
      <c r="D61" s="288"/>
      <c r="E61" s="203" t="s">
        <v>285</v>
      </c>
      <c r="F61" s="211"/>
      <c r="G61" s="62" t="s">
        <v>180</v>
      </c>
      <c r="H61" s="263" t="s">
        <v>198</v>
      </c>
      <c r="I61" s="262" t="s">
        <v>313</v>
      </c>
      <c r="J61" s="196"/>
      <c r="K61" s="264" t="s">
        <v>191</v>
      </c>
      <c r="L61" s="61"/>
      <c r="M61" s="76"/>
      <c r="N61" s="81"/>
      <c r="O61" s="193">
        <v>100000</v>
      </c>
      <c r="P61" s="66">
        <v>10191.51</v>
      </c>
      <c r="Q61" s="66"/>
      <c r="R61" s="67">
        <f t="shared" si="14"/>
        <v>110191.51</v>
      </c>
      <c r="S61" s="64"/>
      <c r="T61" s="64"/>
      <c r="U61" s="65"/>
      <c r="V61" s="64"/>
      <c r="W61" s="64"/>
      <c r="X61" s="51"/>
      <c r="AA61" s="183"/>
      <c r="AB61" s="184"/>
      <c r="AC61" s="185"/>
    </row>
    <row r="62" spans="1:29" s="54" customFormat="1" ht="76.5" customHeight="1" thickBot="1">
      <c r="A62" s="77" t="s">
        <v>201</v>
      </c>
      <c r="B62" s="287">
        <v>41916</v>
      </c>
      <c r="C62" s="288"/>
      <c r="D62" s="288"/>
      <c r="E62" s="203" t="s">
        <v>285</v>
      </c>
      <c r="F62" s="211"/>
      <c r="G62" s="62" t="s">
        <v>180</v>
      </c>
      <c r="H62" s="263" t="s">
        <v>202</v>
      </c>
      <c r="I62" s="262" t="s">
        <v>314</v>
      </c>
      <c r="J62" s="196"/>
      <c r="K62" s="264" t="s">
        <v>191</v>
      </c>
      <c r="L62" s="61"/>
      <c r="M62" s="76"/>
      <c r="N62" s="81"/>
      <c r="O62" s="193">
        <v>150000</v>
      </c>
      <c r="P62" s="66">
        <v>18946.2</v>
      </c>
      <c r="Q62" s="66"/>
      <c r="R62" s="67">
        <f t="shared" si="14"/>
        <v>168946.2</v>
      </c>
      <c r="S62" s="64"/>
      <c r="T62" s="64"/>
      <c r="U62" s="65"/>
      <c r="V62" s="64"/>
      <c r="W62" s="64"/>
      <c r="X62" s="51"/>
      <c r="AA62" s="183"/>
      <c r="AB62" s="184"/>
      <c r="AC62" s="185"/>
    </row>
    <row r="63" spans="1:29" s="54" customFormat="1" ht="76.5" customHeight="1" thickBot="1">
      <c r="A63" s="77" t="s">
        <v>274</v>
      </c>
      <c r="B63" s="287" t="s">
        <v>277</v>
      </c>
      <c r="C63" s="288"/>
      <c r="D63" s="295"/>
      <c r="E63" s="203"/>
      <c r="F63" s="211"/>
      <c r="G63" s="62" t="s">
        <v>278</v>
      </c>
      <c r="H63" s="263" t="s">
        <v>205</v>
      </c>
      <c r="I63" s="262" t="s">
        <v>273</v>
      </c>
      <c r="J63" s="264" t="s">
        <v>275</v>
      </c>
      <c r="K63" s="55" t="s">
        <v>276</v>
      </c>
      <c r="L63" s="61"/>
      <c r="M63" s="76"/>
      <c r="N63" s="81"/>
      <c r="O63" s="193"/>
      <c r="P63" s="66"/>
      <c r="Q63" s="66"/>
      <c r="R63" s="67"/>
      <c r="S63" s="64"/>
      <c r="T63" s="64"/>
      <c r="U63" s="65"/>
      <c r="V63" s="64"/>
      <c r="W63" s="64"/>
      <c r="X63" s="51"/>
      <c r="AA63" s="238"/>
      <c r="AB63" s="239"/>
      <c r="AC63" s="240"/>
    </row>
    <row r="64" spans="1:29" s="54" customFormat="1" ht="76.5" customHeight="1" thickBot="1">
      <c r="A64" s="77" t="s">
        <v>203</v>
      </c>
      <c r="B64" s="287">
        <v>42198</v>
      </c>
      <c r="C64" s="288"/>
      <c r="D64" s="288"/>
      <c r="E64" s="203" t="s">
        <v>285</v>
      </c>
      <c r="F64" s="211"/>
      <c r="G64" s="62" t="s">
        <v>204</v>
      </c>
      <c r="H64" s="263" t="s">
        <v>205</v>
      </c>
      <c r="I64" s="192" t="s">
        <v>312</v>
      </c>
      <c r="J64" s="196"/>
      <c r="K64" s="264" t="s">
        <v>191</v>
      </c>
      <c r="L64" s="61"/>
      <c r="M64" s="76"/>
      <c r="N64" s="81"/>
      <c r="O64" s="193">
        <v>109116.92</v>
      </c>
      <c r="P64" s="66">
        <v>14400</v>
      </c>
      <c r="Q64" s="66"/>
      <c r="R64" s="67">
        <f t="shared" si="14"/>
        <v>123516.92</v>
      </c>
      <c r="S64" s="64"/>
      <c r="T64" s="64"/>
      <c r="U64" s="65"/>
      <c r="V64" s="64"/>
      <c r="W64" s="64"/>
      <c r="X64" s="51"/>
      <c r="AA64" s="183"/>
      <c r="AB64" s="184"/>
      <c r="AC64" s="185"/>
    </row>
    <row r="65" spans="1:34" s="54" customFormat="1" ht="76.5" customHeight="1" thickBot="1">
      <c r="A65" s="77" t="s">
        <v>206</v>
      </c>
      <c r="B65" s="287">
        <v>42735</v>
      </c>
      <c r="C65" s="288"/>
      <c r="D65" s="288"/>
      <c r="E65" s="203" t="s">
        <v>285</v>
      </c>
      <c r="F65" s="211"/>
      <c r="G65" s="62" t="s">
        <v>207</v>
      </c>
      <c r="H65" s="263" t="s">
        <v>202</v>
      </c>
      <c r="I65" s="192"/>
      <c r="J65" s="196"/>
      <c r="K65" s="53" t="s">
        <v>160</v>
      </c>
      <c r="L65" s="61"/>
      <c r="M65" s="76"/>
      <c r="N65" s="81"/>
      <c r="O65" s="193">
        <v>150000</v>
      </c>
      <c r="P65" s="66">
        <v>8420.2900000000009</v>
      </c>
      <c r="Q65" s="66"/>
      <c r="R65" s="67">
        <f t="shared" si="14"/>
        <v>158420.29</v>
      </c>
      <c r="S65" s="64"/>
      <c r="T65" s="64"/>
      <c r="U65" s="65"/>
      <c r="V65" s="64"/>
      <c r="W65" s="64"/>
      <c r="X65" s="51"/>
      <c r="AA65" s="183"/>
      <c r="AB65" s="184"/>
      <c r="AC65" s="185"/>
    </row>
    <row r="66" spans="1:34" s="54" customFormat="1" ht="76.5" customHeight="1" thickBot="1">
      <c r="A66" s="77" t="s">
        <v>208</v>
      </c>
      <c r="B66" s="287">
        <v>42582</v>
      </c>
      <c r="C66" s="288"/>
      <c r="D66" s="288"/>
      <c r="E66" s="203" t="s">
        <v>285</v>
      </c>
      <c r="F66" s="211"/>
      <c r="G66" s="62" t="s">
        <v>246</v>
      </c>
      <c r="H66" s="263" t="s">
        <v>247</v>
      </c>
      <c r="I66" s="192"/>
      <c r="J66" s="196"/>
      <c r="K66" s="53" t="s">
        <v>160</v>
      </c>
      <c r="L66" s="61"/>
      <c r="M66" s="76"/>
      <c r="N66" s="81"/>
      <c r="O66" s="193">
        <v>300000</v>
      </c>
      <c r="P66" s="66">
        <v>16695.63</v>
      </c>
      <c r="Q66" s="66"/>
      <c r="R66" s="67">
        <f t="shared" si="14"/>
        <v>316695.63</v>
      </c>
      <c r="S66" s="64"/>
      <c r="T66" s="64"/>
      <c r="U66" s="65"/>
      <c r="V66" s="64"/>
      <c r="W66" s="64"/>
      <c r="X66" s="51"/>
      <c r="AA66" s="183"/>
      <c r="AB66" s="184"/>
      <c r="AC66" s="185"/>
    </row>
    <row r="67" spans="1:34" s="54" customFormat="1" ht="56.25" customHeight="1" thickBot="1">
      <c r="A67" s="77" t="s">
        <v>280</v>
      </c>
      <c r="B67" s="287">
        <v>42945</v>
      </c>
      <c r="C67" s="288"/>
      <c r="D67" s="288"/>
      <c r="E67" s="203" t="s">
        <v>285</v>
      </c>
      <c r="F67" s="211"/>
      <c r="G67" s="62" t="s">
        <v>215</v>
      </c>
      <c r="H67" s="263" t="s">
        <v>216</v>
      </c>
      <c r="I67" s="192"/>
      <c r="J67" s="196"/>
      <c r="K67" s="225" t="s">
        <v>160</v>
      </c>
      <c r="L67" s="61"/>
      <c r="M67" s="76"/>
      <c r="N67" s="81"/>
      <c r="O67" s="193">
        <v>922978.8</v>
      </c>
      <c r="P67" s="66">
        <v>16450</v>
      </c>
      <c r="Q67" s="66"/>
      <c r="R67" s="67">
        <f t="shared" si="14"/>
        <v>939428.8</v>
      </c>
      <c r="S67" s="64"/>
      <c r="T67" s="64"/>
      <c r="U67" s="65"/>
      <c r="V67" s="64"/>
      <c r="W67" s="64"/>
      <c r="X67" s="51"/>
      <c r="AA67" s="183"/>
      <c r="AB67" s="184"/>
      <c r="AC67" s="185"/>
    </row>
    <row r="68" spans="1:34" s="54" customFormat="1" ht="56.25" customHeight="1" thickBot="1">
      <c r="A68" s="77" t="s">
        <v>217</v>
      </c>
      <c r="B68" s="287">
        <v>42217</v>
      </c>
      <c r="C68" s="288"/>
      <c r="D68" s="288"/>
      <c r="E68" s="203" t="s">
        <v>285</v>
      </c>
      <c r="F68" s="211"/>
      <c r="G68" s="62" t="s">
        <v>218</v>
      </c>
      <c r="H68" s="263" t="s">
        <v>219</v>
      </c>
      <c r="I68" s="192" t="s">
        <v>273</v>
      </c>
      <c r="J68" s="260" t="s">
        <v>272</v>
      </c>
      <c r="K68" s="259" t="s">
        <v>177</v>
      </c>
      <c r="L68" s="61"/>
      <c r="M68" s="76"/>
      <c r="N68" s="81"/>
      <c r="O68" s="193">
        <v>545011.21</v>
      </c>
      <c r="P68" s="66">
        <v>45011.21</v>
      </c>
      <c r="Q68" s="66"/>
      <c r="R68" s="67">
        <f t="shared" si="14"/>
        <v>590022.41999999993</v>
      </c>
      <c r="S68" s="64"/>
      <c r="T68" s="64"/>
      <c r="U68" s="65"/>
      <c r="V68" s="64"/>
      <c r="W68" s="64"/>
      <c r="X68" s="51"/>
      <c r="AA68" s="183"/>
      <c r="AB68" s="184"/>
      <c r="AC68" s="185"/>
    </row>
    <row r="69" spans="1:34" s="54" customFormat="1" ht="58.5" customHeight="1" thickBot="1">
      <c r="A69" s="77" t="s">
        <v>223</v>
      </c>
      <c r="B69" s="287">
        <v>42185</v>
      </c>
      <c r="C69" s="288"/>
      <c r="D69" s="288"/>
      <c r="E69" s="203" t="s">
        <v>285</v>
      </c>
      <c r="F69" s="211"/>
      <c r="G69" s="62" t="s">
        <v>224</v>
      </c>
      <c r="H69" s="62"/>
      <c r="I69" s="192" t="s">
        <v>273</v>
      </c>
      <c r="J69" s="196"/>
      <c r="K69" s="264" t="s">
        <v>191</v>
      </c>
      <c r="L69" s="61"/>
      <c r="M69" s="76"/>
      <c r="N69" s="81"/>
      <c r="O69" s="193">
        <v>378840</v>
      </c>
      <c r="P69" s="66">
        <v>379.22</v>
      </c>
      <c r="Q69" s="66"/>
      <c r="R69" s="67">
        <f t="shared" si="14"/>
        <v>379219.22</v>
      </c>
      <c r="S69" s="64"/>
      <c r="T69" s="64"/>
      <c r="U69" s="65"/>
      <c r="V69" s="64"/>
      <c r="W69" s="64"/>
      <c r="X69" s="51"/>
      <c r="AA69" s="183"/>
      <c r="AB69" s="184"/>
      <c r="AC69" s="185"/>
    </row>
    <row r="70" spans="1:34" s="54" customFormat="1" ht="57" customHeight="1" thickBot="1">
      <c r="A70" s="77" t="s">
        <v>225</v>
      </c>
      <c r="B70" s="287">
        <v>42717</v>
      </c>
      <c r="C70" s="288"/>
      <c r="D70" s="288"/>
      <c r="E70" s="203" t="s">
        <v>285</v>
      </c>
      <c r="F70" s="211"/>
      <c r="G70" s="62" t="s">
        <v>226</v>
      </c>
      <c r="H70" s="263" t="s">
        <v>202</v>
      </c>
      <c r="I70" s="192" t="s">
        <v>300</v>
      </c>
      <c r="J70" s="271" t="s">
        <v>299</v>
      </c>
      <c r="K70" s="53" t="s">
        <v>160</v>
      </c>
      <c r="L70" s="61"/>
      <c r="M70" s="76"/>
      <c r="N70" s="81"/>
      <c r="O70" s="193">
        <v>150000</v>
      </c>
      <c r="P70" s="66">
        <v>21523.95</v>
      </c>
      <c r="Q70" s="66"/>
      <c r="R70" s="67">
        <f t="shared" si="14"/>
        <v>171523.95</v>
      </c>
      <c r="S70" s="64"/>
      <c r="T70" s="64"/>
      <c r="U70" s="65"/>
      <c r="V70" s="64"/>
      <c r="W70" s="64"/>
      <c r="X70" s="51"/>
      <c r="AA70" s="183"/>
      <c r="AB70" s="184"/>
      <c r="AC70" s="185"/>
    </row>
    <row r="71" spans="1:34" s="54" customFormat="1" ht="76.5" customHeight="1" thickBot="1">
      <c r="A71" s="77" t="s">
        <v>228</v>
      </c>
      <c r="B71" s="287">
        <v>42722</v>
      </c>
      <c r="C71" s="288"/>
      <c r="D71" s="288"/>
      <c r="E71" s="203" t="s">
        <v>285</v>
      </c>
      <c r="F71" s="211"/>
      <c r="G71" s="62" t="s">
        <v>229</v>
      </c>
      <c r="H71" s="62"/>
      <c r="I71" s="192" t="s">
        <v>306</v>
      </c>
      <c r="J71" s="196"/>
      <c r="K71" s="272" t="s">
        <v>177</v>
      </c>
      <c r="L71" s="61"/>
      <c r="M71" s="76"/>
      <c r="N71" s="81"/>
      <c r="O71" s="193">
        <v>153470.5</v>
      </c>
      <c r="P71" s="66">
        <v>1534.7</v>
      </c>
      <c r="Q71" s="66"/>
      <c r="R71" s="67">
        <f t="shared" si="14"/>
        <v>155005.20000000001</v>
      </c>
      <c r="S71" s="64"/>
      <c r="T71" s="64"/>
      <c r="U71" s="65"/>
      <c r="V71" s="64"/>
      <c r="W71" s="64"/>
      <c r="X71" s="51"/>
      <c r="AA71" s="183"/>
      <c r="AB71" s="184"/>
      <c r="AC71" s="185"/>
    </row>
    <row r="72" spans="1:34" s="54" customFormat="1" ht="76.5" customHeight="1" thickBot="1">
      <c r="A72" s="77" t="s">
        <v>230</v>
      </c>
      <c r="B72" s="287">
        <v>42723</v>
      </c>
      <c r="C72" s="288"/>
      <c r="D72" s="288"/>
      <c r="E72" s="203" t="s">
        <v>285</v>
      </c>
      <c r="F72" s="211"/>
      <c r="G72" s="62" t="s">
        <v>231</v>
      </c>
      <c r="H72" s="263" t="s">
        <v>205</v>
      </c>
      <c r="I72" s="192" t="s">
        <v>307</v>
      </c>
      <c r="J72" s="196"/>
      <c r="K72" s="272" t="s">
        <v>177</v>
      </c>
      <c r="L72" s="61"/>
      <c r="M72" s="76"/>
      <c r="N72" s="81"/>
      <c r="O72" s="193">
        <v>100615.8</v>
      </c>
      <c r="P72" s="66">
        <v>1006.15</v>
      </c>
      <c r="Q72" s="66"/>
      <c r="R72" s="67">
        <f t="shared" si="14"/>
        <v>101621.95</v>
      </c>
      <c r="S72" s="64"/>
      <c r="T72" s="64"/>
      <c r="U72" s="65"/>
      <c r="V72" s="64"/>
      <c r="W72" s="64"/>
      <c r="X72" s="51"/>
      <c r="AA72" s="183"/>
      <c r="AB72" s="184"/>
      <c r="AC72" s="185"/>
    </row>
    <row r="73" spans="1:34" s="54" customFormat="1" ht="77.25" customHeight="1" thickBot="1">
      <c r="A73" s="77" t="s">
        <v>74</v>
      </c>
      <c r="B73" s="285">
        <v>42945</v>
      </c>
      <c r="C73" s="286"/>
      <c r="D73" s="286"/>
      <c r="E73" s="203" t="s">
        <v>285</v>
      </c>
      <c r="F73" s="211"/>
      <c r="G73" s="62" t="s">
        <v>75</v>
      </c>
      <c r="H73" s="62"/>
      <c r="I73" s="192"/>
      <c r="J73" s="260" t="s">
        <v>115</v>
      </c>
      <c r="K73" s="272" t="s">
        <v>177</v>
      </c>
      <c r="L73" s="61" t="s">
        <v>15</v>
      </c>
      <c r="M73" s="76">
        <v>4256</v>
      </c>
      <c r="N73" s="81" t="s">
        <v>103</v>
      </c>
      <c r="O73" s="193">
        <f>939428.9-16450</f>
        <v>922978.9</v>
      </c>
      <c r="P73" s="66">
        <v>16450</v>
      </c>
      <c r="Q73" s="66">
        <f>105640.39</f>
        <v>105640.39</v>
      </c>
      <c r="R73" s="67">
        <f>SUM(O73:Q73)</f>
        <v>1045069.29</v>
      </c>
      <c r="S73" s="64">
        <f>915563.7-16450</f>
        <v>899113.7</v>
      </c>
      <c r="T73" s="64"/>
      <c r="U73" s="65">
        <f>SUM(S73:T73)</f>
        <v>899113.7</v>
      </c>
      <c r="V73" s="64"/>
      <c r="W73" s="64">
        <f>16450</f>
        <v>16450</v>
      </c>
      <c r="X73" s="51">
        <f>SUM(V73:W73)</f>
        <v>16450</v>
      </c>
      <c r="AA73" s="285">
        <v>42696</v>
      </c>
      <c r="AB73" s="286"/>
      <c r="AC73" s="291"/>
    </row>
    <row r="74" spans="1:34" ht="22.9" customHeight="1">
      <c r="A74" s="43" t="s">
        <v>4</v>
      </c>
      <c r="B74" s="15"/>
      <c r="C74" s="15"/>
      <c r="D74" s="15"/>
      <c r="E74" s="212"/>
      <c r="F74" s="14" t="s">
        <v>15</v>
      </c>
      <c r="G74" s="16"/>
      <c r="H74" s="16"/>
      <c r="I74" s="16"/>
      <c r="J74" s="16"/>
      <c r="K74" s="38"/>
      <c r="L74" s="194"/>
      <c r="M74" s="194"/>
      <c r="N74" s="195"/>
      <c r="O74" s="17">
        <f t="shared" ref="O74:X74" si="15">SUM(O44:O73)</f>
        <v>13036276.210000003</v>
      </c>
      <c r="P74" s="17">
        <f t="shared" si="15"/>
        <v>647599.03999999992</v>
      </c>
      <c r="Q74" s="17">
        <f t="shared" si="15"/>
        <v>655701.20000000007</v>
      </c>
      <c r="R74" s="17">
        <f t="shared" si="15"/>
        <v>13762416.899999999</v>
      </c>
      <c r="S74" s="17">
        <f t="shared" si="15"/>
        <v>4343547.1400000006</v>
      </c>
      <c r="T74" s="17">
        <f t="shared" si="15"/>
        <v>0</v>
      </c>
      <c r="U74" s="17">
        <f t="shared" si="15"/>
        <v>4343544.1400000006</v>
      </c>
      <c r="V74" s="17">
        <f t="shared" si="15"/>
        <v>44920.369999999995</v>
      </c>
      <c r="W74" s="17">
        <f t="shared" si="15"/>
        <v>16450</v>
      </c>
      <c r="X74" s="17">
        <f t="shared" si="15"/>
        <v>61370.369999999995</v>
      </c>
      <c r="Y74" s="8"/>
      <c r="AH74"/>
    </row>
    <row r="75" spans="1:34" ht="22.9" customHeight="1" thickBot="1">
      <c r="A75" s="44" t="s">
        <v>4</v>
      </c>
      <c r="B75" s="23"/>
      <c r="C75" s="23"/>
      <c r="D75" s="23"/>
      <c r="E75" s="23"/>
      <c r="F75" s="22" t="s">
        <v>17</v>
      </c>
      <c r="G75" s="24"/>
      <c r="H75" s="24"/>
      <c r="I75" s="24"/>
      <c r="J75" s="24"/>
      <c r="K75" s="39"/>
      <c r="L75" s="39"/>
      <c r="M75" s="39"/>
      <c r="N75" s="32"/>
      <c r="O75" s="25">
        <f t="shared" ref="O75:X75" si="16">O12+O15+O26+O35+O41+O43+O74+O37</f>
        <v>44530124.480000004</v>
      </c>
      <c r="P75" s="25">
        <f t="shared" si="16"/>
        <v>3209735.09</v>
      </c>
      <c r="Q75" s="25">
        <f t="shared" si="16"/>
        <v>3378621.2500000005</v>
      </c>
      <c r="R75" s="25">
        <f t="shared" si="16"/>
        <v>50541321.270000003</v>
      </c>
      <c r="S75" s="25">
        <f t="shared" si="16"/>
        <v>13103890.210000001</v>
      </c>
      <c r="T75" s="25">
        <f t="shared" si="16"/>
        <v>14226657.83</v>
      </c>
      <c r="U75" s="25">
        <f t="shared" si="16"/>
        <v>27330545.040000003</v>
      </c>
      <c r="V75" s="25">
        <f t="shared" si="16"/>
        <v>388417.08</v>
      </c>
      <c r="W75" s="25">
        <f t="shared" si="16"/>
        <v>758400.03</v>
      </c>
      <c r="X75" s="25">
        <f t="shared" si="16"/>
        <v>1146817.1099999999</v>
      </c>
      <c r="Y75" s="8"/>
      <c r="AH75"/>
    </row>
    <row r="76" spans="1:34" ht="22.9" customHeight="1" thickBot="1">
      <c r="A76" s="45" t="s">
        <v>4</v>
      </c>
      <c r="B76" s="19"/>
      <c r="C76" s="19"/>
      <c r="D76" s="19"/>
      <c r="E76" s="19"/>
      <c r="F76" s="18" t="s">
        <v>18</v>
      </c>
      <c r="G76" s="20"/>
      <c r="H76" s="20"/>
      <c r="I76" s="20"/>
      <c r="J76" s="20"/>
      <c r="K76" s="40"/>
      <c r="L76" s="40"/>
      <c r="M76" s="40"/>
      <c r="N76" s="33"/>
      <c r="O76" s="21">
        <f t="shared" ref="O76:X76" si="17">O12+O26+O41+O43+O74+O37</f>
        <v>36776669.920000002</v>
      </c>
      <c r="P76" s="21">
        <f t="shared" si="17"/>
        <v>2498420.54</v>
      </c>
      <c r="Q76" s="21">
        <f t="shared" si="17"/>
        <v>2750609.29</v>
      </c>
      <c r="R76" s="21">
        <f t="shared" si="17"/>
        <v>41448540.200000003</v>
      </c>
      <c r="S76" s="21">
        <f t="shared" si="17"/>
        <v>10923471.18</v>
      </c>
      <c r="T76" s="21">
        <f t="shared" si="17"/>
        <v>11431628.43</v>
      </c>
      <c r="U76" s="21">
        <f t="shared" si="17"/>
        <v>22355096.609999999</v>
      </c>
      <c r="V76" s="21">
        <f t="shared" si="17"/>
        <v>262291.43</v>
      </c>
      <c r="W76" s="21">
        <f t="shared" si="17"/>
        <v>473211.13</v>
      </c>
      <c r="X76" s="21">
        <f t="shared" si="17"/>
        <v>735502.56</v>
      </c>
      <c r="Y76" s="8"/>
      <c r="AH76"/>
    </row>
    <row r="77" spans="1:34" ht="22.9" customHeight="1" thickBot="1">
      <c r="A77" s="45" t="s">
        <v>4</v>
      </c>
      <c r="B77" s="19"/>
      <c r="C77" s="19"/>
      <c r="D77" s="19"/>
      <c r="E77" s="19"/>
      <c r="F77" s="18" t="s">
        <v>19</v>
      </c>
      <c r="G77" s="20"/>
      <c r="H77" s="20"/>
      <c r="I77" s="20"/>
      <c r="J77" s="20"/>
      <c r="K77" s="40"/>
      <c r="L77" s="40"/>
      <c r="M77" s="40"/>
      <c r="N77" s="33"/>
      <c r="O77" s="21">
        <f t="shared" ref="O77:X77" si="18">O35+O15</f>
        <v>7753454.5600000005</v>
      </c>
      <c r="P77" s="21">
        <f t="shared" si="18"/>
        <v>711314.55</v>
      </c>
      <c r="Q77" s="21">
        <f t="shared" si="18"/>
        <v>628011.96</v>
      </c>
      <c r="R77" s="21">
        <f t="shared" si="18"/>
        <v>9092781.0700000003</v>
      </c>
      <c r="S77" s="21">
        <f t="shared" si="18"/>
        <v>2180419.0299999998</v>
      </c>
      <c r="T77" s="21">
        <f t="shared" si="18"/>
        <v>2795029.4000000004</v>
      </c>
      <c r="U77" s="21">
        <f t="shared" si="18"/>
        <v>4975448.43</v>
      </c>
      <c r="V77" s="21">
        <f t="shared" si="18"/>
        <v>126125.65000000001</v>
      </c>
      <c r="W77" s="21">
        <f t="shared" si="18"/>
        <v>285188.90000000002</v>
      </c>
      <c r="X77" s="21">
        <f t="shared" si="18"/>
        <v>411314.55</v>
      </c>
      <c r="Y77" s="8"/>
      <c r="AH77"/>
    </row>
    <row r="78" spans="1:34" ht="19.5" customHeight="1">
      <c r="A78" s="334" t="s">
        <v>123</v>
      </c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178"/>
      <c r="M78" s="178"/>
      <c r="N78" s="27"/>
      <c r="O78" s="99"/>
      <c r="S78" s="2"/>
      <c r="V78" s="331" t="s">
        <v>131</v>
      </c>
      <c r="W78" s="331"/>
      <c r="X78" s="331"/>
      <c r="Y78" s="8"/>
      <c r="AH78"/>
    </row>
    <row r="79" spans="1:34" ht="18.75" customHeight="1">
      <c r="A79" s="289" t="s">
        <v>130</v>
      </c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157"/>
      <c r="M79" s="190"/>
      <c r="N79" s="27"/>
      <c r="O79" s="99"/>
      <c r="S79" s="2"/>
      <c r="Y79" s="8"/>
      <c r="AH79"/>
    </row>
    <row r="80" spans="1:34" ht="19.5" customHeight="1">
      <c r="A80" s="290" t="s">
        <v>132</v>
      </c>
      <c r="B80" s="290"/>
      <c r="C80" s="290"/>
      <c r="D80" s="290"/>
      <c r="E80" s="290"/>
      <c r="F80" s="290"/>
      <c r="G80" s="290"/>
      <c r="H80" s="290"/>
      <c r="I80" s="290"/>
      <c r="J80" s="290"/>
      <c r="K80" s="290"/>
      <c r="L80" s="158"/>
      <c r="M80" s="191"/>
      <c r="N80" s="27"/>
      <c r="O80" s="99"/>
      <c r="S80" s="2"/>
      <c r="Y80" s="8"/>
      <c r="AH80"/>
    </row>
    <row r="81" spans="1:20" ht="19.5" customHeight="1">
      <c r="A81" s="284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T81" s="27"/>
    </row>
    <row r="90" spans="1:20">
      <c r="T90" s="27"/>
    </row>
  </sheetData>
  <autoFilter ref="A5:X80"/>
  <mergeCells count="134">
    <mergeCell ref="AA48:AC48"/>
    <mergeCell ref="AA49:AC49"/>
    <mergeCell ref="B7:D7"/>
    <mergeCell ref="F3:F5"/>
    <mergeCell ref="B3:D4"/>
    <mergeCell ref="V78:X78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22:D22"/>
    <mergeCell ref="A78:K78"/>
    <mergeCell ref="M3:M5"/>
    <mergeCell ref="N3:N5"/>
    <mergeCell ref="B12:D12"/>
    <mergeCell ref="B13:D13"/>
    <mergeCell ref="B14:D14"/>
    <mergeCell ref="B33:D33"/>
    <mergeCell ref="B34:D34"/>
    <mergeCell ref="B23:D23"/>
    <mergeCell ref="B24:D24"/>
    <mergeCell ref="B25:D25"/>
    <mergeCell ref="B26:D26"/>
    <mergeCell ref="B27:D27"/>
    <mergeCell ref="B28:D28"/>
    <mergeCell ref="B15:D15"/>
    <mergeCell ref="B16:D16"/>
    <mergeCell ref="B21:D21"/>
    <mergeCell ref="B19:D19"/>
    <mergeCell ref="B59:D59"/>
    <mergeCell ref="B48:D48"/>
    <mergeCell ref="B50:D50"/>
    <mergeCell ref="B41:D41"/>
    <mergeCell ref="B42:D42"/>
    <mergeCell ref="B18:D18"/>
    <mergeCell ref="B20:D20"/>
    <mergeCell ref="AA3:AC4"/>
    <mergeCell ref="AA6:AC6"/>
    <mergeCell ref="AA8:AC8"/>
    <mergeCell ref="AA9:AC9"/>
    <mergeCell ref="AA10:AC10"/>
    <mergeCell ref="AA11:AC11"/>
    <mergeCell ref="AA44:AC44"/>
    <mergeCell ref="AA45:AC45"/>
    <mergeCell ref="AA46:AC46"/>
    <mergeCell ref="AA47:AC47"/>
    <mergeCell ref="AA12:AC12"/>
    <mergeCell ref="AA13:AC13"/>
    <mergeCell ref="AA14:AC14"/>
    <mergeCell ref="AA15:AC15"/>
    <mergeCell ref="AA16:AC16"/>
    <mergeCell ref="AA18:AC18"/>
    <mergeCell ref="AA28:AC28"/>
    <mergeCell ref="B1:U1"/>
    <mergeCell ref="B2:Y2"/>
    <mergeCell ref="A3:A5"/>
    <mergeCell ref="L3:L5"/>
    <mergeCell ref="I3:I5"/>
    <mergeCell ref="O3:R4"/>
    <mergeCell ref="J3:J5"/>
    <mergeCell ref="S3:X3"/>
    <mergeCell ref="V4:X4"/>
    <mergeCell ref="K3:K5"/>
    <mergeCell ref="G3:G5"/>
    <mergeCell ref="H3:H5"/>
    <mergeCell ref="E3:E5"/>
    <mergeCell ref="S4:U4"/>
    <mergeCell ref="AA29:AC29"/>
    <mergeCell ref="AA30:AC30"/>
    <mergeCell ref="AA31:AC31"/>
    <mergeCell ref="AA20:AC20"/>
    <mergeCell ref="AA21:AC21"/>
    <mergeCell ref="AA22:AC22"/>
    <mergeCell ref="AA23:AC23"/>
    <mergeCell ref="AA24:AC24"/>
    <mergeCell ref="AA25:AC25"/>
    <mergeCell ref="AA73:AC73"/>
    <mergeCell ref="B6:D6"/>
    <mergeCell ref="B8:D8"/>
    <mergeCell ref="B9:D9"/>
    <mergeCell ref="B10:D10"/>
    <mergeCell ref="B11:D11"/>
    <mergeCell ref="AA38:AC38"/>
    <mergeCell ref="AA39:AC39"/>
    <mergeCell ref="AA40:AC40"/>
    <mergeCell ref="AA41:AC41"/>
    <mergeCell ref="AA42:AC42"/>
    <mergeCell ref="AA43:AC43"/>
    <mergeCell ref="AA32:AC32"/>
    <mergeCell ref="AA33:AC33"/>
    <mergeCell ref="AA34:AC34"/>
    <mergeCell ref="AA35:AC35"/>
    <mergeCell ref="AA36:AC36"/>
    <mergeCell ref="AA37:AC37"/>
    <mergeCell ref="B63:D63"/>
    <mergeCell ref="AA26:AC26"/>
    <mergeCell ref="B73:D73"/>
    <mergeCell ref="B17:D17"/>
    <mergeCell ref="B49:D49"/>
    <mergeCell ref="AA27:AC27"/>
    <mergeCell ref="A81:M81"/>
    <mergeCell ref="B47:D47"/>
    <mergeCell ref="B60:D60"/>
    <mergeCell ref="B51:D51"/>
    <mergeCell ref="B52:D52"/>
    <mergeCell ref="B53:D53"/>
    <mergeCell ref="B54:D54"/>
    <mergeCell ref="B55:D55"/>
    <mergeCell ref="B56:D56"/>
    <mergeCell ref="B70:D70"/>
    <mergeCell ref="B57:D57"/>
    <mergeCell ref="B58:D58"/>
    <mergeCell ref="B71:D71"/>
    <mergeCell ref="B72:D72"/>
    <mergeCell ref="B61:D61"/>
    <mergeCell ref="B62:D62"/>
    <mergeCell ref="B64:D64"/>
    <mergeCell ref="B65:D65"/>
    <mergeCell ref="B66:D66"/>
    <mergeCell ref="B67:D67"/>
    <mergeCell ref="B68:D68"/>
    <mergeCell ref="B69:D69"/>
    <mergeCell ref="A79:K79"/>
    <mergeCell ref="A80:K80"/>
  </mergeCells>
  <pageMargins left="0.39370078740157483" right="0.62992125984251968" top="0.23622047244094491" bottom="0.23622047244094491" header="0" footer="0"/>
  <pageSetup paperSize="9" scale="31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8"/>
  <sheetViews>
    <sheetView zoomScale="70" zoomScaleNormal="70" workbookViewId="0">
      <pane xSplit="9" ySplit="5" topLeftCell="J6" activePane="bottomRight" state="frozen"/>
      <selection pane="topRight" activeCell="I1" sqref="I1"/>
      <selection pane="bottomLeft" activeCell="A6" sqref="A6"/>
      <selection pane="bottomRight" activeCell="A40" sqref="A40"/>
    </sheetView>
  </sheetViews>
  <sheetFormatPr defaultRowHeight="19.5"/>
  <cols>
    <col min="1" max="1" width="22" style="46" customWidth="1"/>
    <col min="2" max="2" width="4.42578125" style="7" customWidth="1"/>
    <col min="3" max="3" width="3.85546875" style="7" customWidth="1"/>
    <col min="4" max="4" width="4.5703125" style="7" customWidth="1"/>
    <col min="5" max="5" width="8.42578125" style="5" customWidth="1"/>
    <col min="6" max="6" width="10.85546875" style="6" customWidth="1"/>
    <col min="7" max="7" width="12.28515625" style="6" customWidth="1"/>
    <col min="8" max="8" width="25.28515625" style="41" customWidth="1"/>
    <col min="9" max="9" width="25.7109375" style="27" customWidth="1"/>
    <col min="10" max="11" width="16.5703125" style="2" customWidth="1"/>
    <col min="12" max="12" width="16.5703125" style="2" bestFit="1" customWidth="1"/>
    <col min="13" max="13" width="13.140625" style="2" customWidth="1"/>
    <col min="14" max="14" width="15.140625" style="2" customWidth="1"/>
    <col min="15" max="15" width="15.140625" style="2" bestFit="1" customWidth="1"/>
    <col min="16" max="17" width="16.5703125" style="2" customWidth="1"/>
    <col min="18" max="18" width="16.5703125" style="2" bestFit="1" customWidth="1"/>
    <col min="19" max="19" width="13.140625" style="2" customWidth="1"/>
    <col min="20" max="20" width="15.140625" style="2" customWidth="1"/>
    <col min="21" max="21" width="15.140625" style="2" bestFit="1" customWidth="1"/>
    <col min="22" max="23" width="16.5703125" style="27" customWidth="1"/>
    <col min="24" max="24" width="16.7109375" style="27" bestFit="1" customWidth="1"/>
    <col min="25" max="25" width="13.140625" style="27" customWidth="1"/>
    <col min="26" max="26" width="15.140625" style="27" customWidth="1"/>
    <col min="27" max="27" width="15.42578125" style="27" bestFit="1" customWidth="1"/>
    <col min="28" max="28" width="13.140625" style="2" customWidth="1"/>
    <col min="29" max="30" width="15.140625" style="2" customWidth="1"/>
    <col min="31" max="31" width="15.140625" style="2" bestFit="1" customWidth="1"/>
  </cols>
  <sheetData>
    <row r="1" spans="1:33" s="29" customFormat="1" ht="20.25">
      <c r="A1" s="299" t="s">
        <v>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8"/>
      <c r="M1" s="28"/>
      <c r="N1" s="28"/>
      <c r="O1" s="28"/>
      <c r="P1" s="69"/>
      <c r="Q1" s="69"/>
      <c r="R1" s="28"/>
      <c r="S1" s="28"/>
      <c r="T1" s="28"/>
      <c r="U1" s="28"/>
      <c r="V1" s="113"/>
      <c r="W1" s="113"/>
      <c r="X1" s="114"/>
      <c r="Y1" s="114"/>
      <c r="Z1" s="114"/>
      <c r="AA1" s="114"/>
      <c r="AB1" s="28"/>
      <c r="AC1" s="28"/>
      <c r="AD1" s="28"/>
      <c r="AE1" s="28"/>
    </row>
    <row r="2" spans="1:33" s="3" customFormat="1" ht="27" thickBot="1">
      <c r="A2" s="300" t="s">
        <v>124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70"/>
      <c r="Q2" s="70"/>
      <c r="R2" s="70"/>
      <c r="S2" s="70"/>
      <c r="T2" s="70"/>
      <c r="U2" s="70"/>
      <c r="V2" s="115"/>
      <c r="W2" s="115"/>
      <c r="X2" s="115"/>
      <c r="Y2" s="115"/>
      <c r="Z2" s="115"/>
      <c r="AA2" s="115"/>
      <c r="AB2" s="70"/>
      <c r="AC2" s="70"/>
      <c r="AD2" s="70"/>
      <c r="AE2" s="70"/>
    </row>
    <row r="3" spans="1:33" s="1" customFormat="1" ht="21" customHeight="1" thickBot="1">
      <c r="A3" s="301" t="s">
        <v>124</v>
      </c>
      <c r="B3" s="320" t="s">
        <v>119</v>
      </c>
      <c r="C3" s="320"/>
      <c r="D3" s="320"/>
      <c r="E3" s="304" t="s">
        <v>0</v>
      </c>
      <c r="F3" s="307" t="s">
        <v>20</v>
      </c>
      <c r="G3" s="335" t="s">
        <v>77</v>
      </c>
      <c r="H3" s="307" t="s">
        <v>24</v>
      </c>
      <c r="I3" s="307" t="s">
        <v>21</v>
      </c>
      <c r="J3" s="314" t="s">
        <v>140</v>
      </c>
      <c r="K3" s="315"/>
      <c r="L3" s="315"/>
      <c r="M3" s="315"/>
      <c r="N3" s="315"/>
      <c r="O3" s="316"/>
      <c r="P3" s="314" t="s">
        <v>133</v>
      </c>
      <c r="Q3" s="315"/>
      <c r="R3" s="315"/>
      <c r="S3" s="315"/>
      <c r="T3" s="315"/>
      <c r="U3" s="316"/>
      <c r="V3" s="341" t="s">
        <v>134</v>
      </c>
      <c r="W3" s="342"/>
      <c r="X3" s="342"/>
      <c r="Y3" s="342"/>
      <c r="Z3" s="342"/>
      <c r="AA3" s="343"/>
      <c r="AB3" s="338" t="s">
        <v>138</v>
      </c>
      <c r="AC3" s="339"/>
      <c r="AD3" s="339"/>
      <c r="AE3" s="340"/>
      <c r="AF3" s="111"/>
    </row>
    <row r="4" spans="1:33" s="1" customFormat="1" ht="16.5" customHeight="1" thickBot="1">
      <c r="A4" s="302"/>
      <c r="B4" s="320"/>
      <c r="C4" s="320"/>
      <c r="D4" s="320"/>
      <c r="E4" s="305"/>
      <c r="F4" s="308"/>
      <c r="G4" s="336"/>
      <c r="H4" s="308"/>
      <c r="I4" s="308"/>
      <c r="J4" s="314" t="s">
        <v>16</v>
      </c>
      <c r="K4" s="315"/>
      <c r="L4" s="316"/>
      <c r="M4" s="314" t="s">
        <v>14</v>
      </c>
      <c r="N4" s="315"/>
      <c r="O4" s="316"/>
      <c r="P4" s="314" t="s">
        <v>16</v>
      </c>
      <c r="Q4" s="315"/>
      <c r="R4" s="316"/>
      <c r="S4" s="314" t="s">
        <v>14</v>
      </c>
      <c r="T4" s="315"/>
      <c r="U4" s="316"/>
      <c r="V4" s="341" t="s">
        <v>16</v>
      </c>
      <c r="W4" s="342"/>
      <c r="X4" s="343"/>
      <c r="Y4" s="341" t="s">
        <v>14</v>
      </c>
      <c r="Z4" s="342"/>
      <c r="AA4" s="343"/>
      <c r="AB4" s="314" t="s">
        <v>39</v>
      </c>
      <c r="AC4" s="315"/>
      <c r="AD4" s="315"/>
      <c r="AE4" s="316"/>
    </row>
    <row r="5" spans="1:33" s="1" customFormat="1" ht="32.25" thickBot="1">
      <c r="A5" s="303"/>
      <c r="B5" s="174" t="s">
        <v>11</v>
      </c>
      <c r="C5" s="159" t="s">
        <v>12</v>
      </c>
      <c r="D5" s="159" t="s">
        <v>13</v>
      </c>
      <c r="E5" s="306"/>
      <c r="F5" s="309"/>
      <c r="G5" s="337"/>
      <c r="H5" s="309"/>
      <c r="I5" s="309"/>
      <c r="J5" s="4" t="s">
        <v>1</v>
      </c>
      <c r="K5" s="4" t="s">
        <v>2</v>
      </c>
      <c r="L5" s="4" t="s">
        <v>4</v>
      </c>
      <c r="M5" s="4" t="s">
        <v>1</v>
      </c>
      <c r="N5" s="4" t="s">
        <v>2</v>
      </c>
      <c r="O5" s="4" t="s">
        <v>4</v>
      </c>
      <c r="P5" s="4" t="s">
        <v>1</v>
      </c>
      <c r="Q5" s="4" t="s">
        <v>2</v>
      </c>
      <c r="R5" s="4" t="s">
        <v>4</v>
      </c>
      <c r="S5" s="4" t="s">
        <v>1</v>
      </c>
      <c r="T5" s="4" t="s">
        <v>2</v>
      </c>
      <c r="U5" s="4" t="s">
        <v>4</v>
      </c>
      <c r="V5" s="116" t="s">
        <v>1</v>
      </c>
      <c r="W5" s="116" t="s">
        <v>2</v>
      </c>
      <c r="X5" s="116" t="s">
        <v>4</v>
      </c>
      <c r="Y5" s="116" t="s">
        <v>1</v>
      </c>
      <c r="Z5" s="116" t="s">
        <v>2</v>
      </c>
      <c r="AA5" s="116" t="s">
        <v>4</v>
      </c>
      <c r="AB5" s="4" t="s">
        <v>135</v>
      </c>
      <c r="AC5" s="4" t="s">
        <v>136</v>
      </c>
      <c r="AD5" s="4" t="s">
        <v>137</v>
      </c>
      <c r="AE5" s="4" t="s">
        <v>4</v>
      </c>
    </row>
    <row r="6" spans="1:33" s="54" customFormat="1" ht="33" customHeight="1">
      <c r="A6" s="103" t="s">
        <v>31</v>
      </c>
      <c r="B6" s="160">
        <v>14</v>
      </c>
      <c r="C6" s="160">
        <v>10</v>
      </c>
      <c r="D6" s="160">
        <v>16</v>
      </c>
      <c r="E6" s="47" t="s">
        <v>5</v>
      </c>
      <c r="F6" s="75">
        <v>3901</v>
      </c>
      <c r="G6" s="80" t="s">
        <v>78</v>
      </c>
      <c r="H6" s="48" t="s">
        <v>25</v>
      </c>
      <c r="I6" s="86"/>
      <c r="J6" s="49"/>
      <c r="K6" s="128">
        <f>1769341.38+51753.96</f>
        <v>1821095.3399999999</v>
      </c>
      <c r="L6" s="51">
        <f>SUM(J6:K6)</f>
        <v>1821095.3399999999</v>
      </c>
      <c r="M6" s="49"/>
      <c r="N6" s="59">
        <f>13524.06</f>
        <v>13524.06</v>
      </c>
      <c r="O6" s="51">
        <f>SUM(M6:N6)</f>
        <v>13524.06</v>
      </c>
      <c r="P6" s="49"/>
      <c r="Q6" s="49">
        <v>1770000</v>
      </c>
      <c r="R6" s="51">
        <f>SUM(P6:Q6)</f>
        <v>1770000</v>
      </c>
      <c r="S6" s="49"/>
      <c r="T6" s="59"/>
      <c r="U6" s="51">
        <f>SUM(S6:T6)</f>
        <v>0</v>
      </c>
      <c r="V6" s="117">
        <f>J6-P6</f>
        <v>0</v>
      </c>
      <c r="W6" s="117">
        <f>K6-Q6</f>
        <v>51095.339999999851</v>
      </c>
      <c r="X6" s="52">
        <f>SUM(V6:W6)</f>
        <v>51095.339999999851</v>
      </c>
      <c r="Y6" s="117">
        <f>M6-S6</f>
        <v>0</v>
      </c>
      <c r="Z6" s="117">
        <f>N6-T6</f>
        <v>13524.06</v>
      </c>
      <c r="AA6" s="52">
        <f>SUM(Y6:Z6)</f>
        <v>13524.06</v>
      </c>
      <c r="AB6" s="49">
        <f>270000-80000</f>
        <v>190000</v>
      </c>
      <c r="AC6" s="59">
        <f>1268460.81+80000</f>
        <v>1348460.81</v>
      </c>
      <c r="AD6" s="59">
        <f>231539.19</f>
        <v>231539.19</v>
      </c>
      <c r="AE6" s="51">
        <f>SUM(AB6:AD6)</f>
        <v>1770000</v>
      </c>
    </row>
    <row r="7" spans="1:33" s="54" customFormat="1" ht="33" customHeight="1">
      <c r="A7" s="102" t="s">
        <v>32</v>
      </c>
      <c r="B7" s="161">
        <v>17</v>
      </c>
      <c r="C7" s="161">
        <v>12</v>
      </c>
      <c r="D7" s="161">
        <v>16</v>
      </c>
      <c r="E7" s="58" t="s">
        <v>5</v>
      </c>
      <c r="F7" s="75">
        <f>3953</f>
        <v>3953</v>
      </c>
      <c r="G7" s="80" t="s">
        <v>79</v>
      </c>
      <c r="H7" s="48" t="s">
        <v>26</v>
      </c>
      <c r="I7" s="87" t="s">
        <v>125</v>
      </c>
      <c r="J7" s="49"/>
      <c r="K7" s="49">
        <f>261830.78-125000+25169.22+125000</f>
        <v>287000</v>
      </c>
      <c r="L7" s="51">
        <f>SUM(J7:K7)</f>
        <v>287000</v>
      </c>
      <c r="M7" s="49"/>
      <c r="N7" s="50">
        <v>0</v>
      </c>
      <c r="O7" s="51">
        <f>SUM(M7:N7)</f>
        <v>0</v>
      </c>
      <c r="P7" s="49"/>
      <c r="Q7" s="49">
        <f>137000+25000</f>
        <v>162000</v>
      </c>
      <c r="R7" s="51">
        <f>SUM(P7:Q7)</f>
        <v>162000</v>
      </c>
      <c r="S7" s="49"/>
      <c r="T7" s="50"/>
      <c r="U7" s="51">
        <f>SUM(S7:T7)</f>
        <v>0</v>
      </c>
      <c r="V7" s="117">
        <f t="shared" ref="V7:W13" si="0">J7-P7</f>
        <v>0</v>
      </c>
      <c r="W7" s="117">
        <f t="shared" si="0"/>
        <v>125000</v>
      </c>
      <c r="X7" s="52">
        <f>SUM(V7:W7)</f>
        <v>125000</v>
      </c>
      <c r="Y7" s="117">
        <f t="shared" ref="Y7:Z25" si="1">M7-S7</f>
        <v>0</v>
      </c>
      <c r="Z7" s="117">
        <f t="shared" ref="Z7:Z13" si="2">N7-T7</f>
        <v>0</v>
      </c>
      <c r="AA7" s="52">
        <f>SUM(Y7:Z7)</f>
        <v>0</v>
      </c>
      <c r="AB7" s="49">
        <f>1206.15</f>
        <v>1206.1500000000001</v>
      </c>
      <c r="AC7" s="50">
        <f>19298.81</f>
        <v>19298.810000000001</v>
      </c>
      <c r="AD7" s="50">
        <f>84919.19+54575.85</f>
        <v>139495.04000000001</v>
      </c>
      <c r="AE7" s="51">
        <f t="shared" ref="AE7:AE44" si="3">SUM(AB7:AD7)</f>
        <v>160000</v>
      </c>
      <c r="AG7" s="54">
        <f>117277.71+19722.29</f>
        <v>137000</v>
      </c>
    </row>
    <row r="8" spans="1:33" s="54" customFormat="1" ht="33" customHeight="1">
      <c r="A8" s="77" t="s">
        <v>55</v>
      </c>
      <c r="B8" s="162">
        <v>20</v>
      </c>
      <c r="C8" s="162">
        <v>12</v>
      </c>
      <c r="D8" s="162">
        <v>16</v>
      </c>
      <c r="E8" s="61" t="s">
        <v>5</v>
      </c>
      <c r="F8" s="76">
        <v>4168</v>
      </c>
      <c r="G8" s="81" t="s">
        <v>80</v>
      </c>
      <c r="H8" s="62" t="s">
        <v>61</v>
      </c>
      <c r="I8" s="86" t="s">
        <v>23</v>
      </c>
      <c r="J8" s="64"/>
      <c r="K8" s="64">
        <f>2167860.79-1000000</f>
        <v>1167860.79</v>
      </c>
      <c r="L8" s="51">
        <f>SUM(J8:K8)</f>
        <v>1167860.79</v>
      </c>
      <c r="M8" s="64"/>
      <c r="N8" s="64">
        <v>31000</v>
      </c>
      <c r="O8" s="51">
        <f>SUM(M8:N8)</f>
        <v>31000</v>
      </c>
      <c r="P8" s="64"/>
      <c r="Q8" s="64">
        <f>500000+500000</f>
        <v>1000000</v>
      </c>
      <c r="R8" s="51">
        <f>SUM(P8:Q8)</f>
        <v>1000000</v>
      </c>
      <c r="S8" s="64"/>
      <c r="T8" s="64"/>
      <c r="U8" s="51">
        <f>SUM(S8:T8)</f>
        <v>0</v>
      </c>
      <c r="V8" s="117">
        <f t="shared" si="0"/>
        <v>0</v>
      </c>
      <c r="W8" s="117">
        <f>K8-Q8</f>
        <v>167860.79000000004</v>
      </c>
      <c r="X8" s="52">
        <f>SUM(V8:W8)</f>
        <v>167860.79000000004</v>
      </c>
      <c r="Y8" s="117">
        <f t="shared" si="1"/>
        <v>0</v>
      </c>
      <c r="Z8" s="117">
        <f t="shared" si="2"/>
        <v>31000</v>
      </c>
      <c r="AA8" s="52">
        <f>SUM(Y8:Z8)</f>
        <v>31000</v>
      </c>
      <c r="AB8" s="64"/>
      <c r="AC8" s="64">
        <f>1000000</f>
        <v>1000000</v>
      </c>
      <c r="AD8" s="64"/>
      <c r="AE8" s="51">
        <f t="shared" si="3"/>
        <v>1000000</v>
      </c>
      <c r="AG8" s="54">
        <v>43971.64</v>
      </c>
    </row>
    <row r="9" spans="1:33" s="54" customFormat="1" ht="30" customHeight="1">
      <c r="A9" s="77" t="s">
        <v>105</v>
      </c>
      <c r="B9" s="163">
        <v>31</v>
      </c>
      <c r="C9" s="163">
        <v>12</v>
      </c>
      <c r="D9" s="163">
        <v>16</v>
      </c>
      <c r="E9" s="61" t="s">
        <v>5</v>
      </c>
      <c r="F9" s="76">
        <v>4319</v>
      </c>
      <c r="G9" s="81" t="s">
        <v>106</v>
      </c>
      <c r="H9" s="48" t="s">
        <v>107</v>
      </c>
      <c r="I9" s="86" t="s">
        <v>104</v>
      </c>
      <c r="J9" s="63"/>
      <c r="K9" s="64">
        <f>250000-250000</f>
        <v>0</v>
      </c>
      <c r="L9" s="51">
        <f>SUM(J9:K9)</f>
        <v>0</v>
      </c>
      <c r="M9" s="63"/>
      <c r="N9" s="64">
        <v>0</v>
      </c>
      <c r="O9" s="51">
        <f>SUM(M9:N9)</f>
        <v>0</v>
      </c>
      <c r="P9" s="63"/>
      <c r="Q9" s="64"/>
      <c r="R9" s="51">
        <f>SUM(P9:Q9)</f>
        <v>0</v>
      </c>
      <c r="S9" s="63"/>
      <c r="T9" s="64"/>
      <c r="U9" s="51">
        <f>SUM(S9:T9)</f>
        <v>0</v>
      </c>
      <c r="V9" s="117">
        <f t="shared" si="0"/>
        <v>0</v>
      </c>
      <c r="W9" s="117">
        <f>K9-Q9</f>
        <v>0</v>
      </c>
      <c r="X9" s="52">
        <f>SUM(V9:W9)</f>
        <v>0</v>
      </c>
      <c r="Y9" s="117">
        <f t="shared" si="1"/>
        <v>0</v>
      </c>
      <c r="Z9" s="117">
        <f t="shared" si="2"/>
        <v>0</v>
      </c>
      <c r="AA9" s="52">
        <f>SUM(Y9:Z9)</f>
        <v>0</v>
      </c>
      <c r="AB9" s="63"/>
      <c r="AC9" s="64"/>
      <c r="AD9" s="64"/>
      <c r="AE9" s="51">
        <f t="shared" si="3"/>
        <v>0</v>
      </c>
      <c r="AG9" s="54">
        <f>SUM(AG7:AG8)</f>
        <v>180971.64</v>
      </c>
    </row>
    <row r="10" spans="1:33" s="54" customFormat="1" ht="30.75" customHeight="1" thickBot="1">
      <c r="A10" s="77" t="s">
        <v>108</v>
      </c>
      <c r="B10" s="163">
        <v>31</v>
      </c>
      <c r="C10" s="163">
        <v>12</v>
      </c>
      <c r="D10" s="163">
        <v>16</v>
      </c>
      <c r="E10" s="61" t="s">
        <v>5</v>
      </c>
      <c r="F10" s="76">
        <v>4320</v>
      </c>
      <c r="G10" s="81" t="s">
        <v>109</v>
      </c>
      <c r="H10" s="62" t="s">
        <v>110</v>
      </c>
      <c r="I10" s="86" t="s">
        <v>104</v>
      </c>
      <c r="J10" s="63"/>
      <c r="K10" s="64">
        <f>350000-350000</f>
        <v>0</v>
      </c>
      <c r="L10" s="65">
        <f>SUM(J10:K10)</f>
        <v>0</v>
      </c>
      <c r="M10" s="63"/>
      <c r="N10" s="64">
        <v>0</v>
      </c>
      <c r="O10" s="65">
        <f>SUM(M10:N10)</f>
        <v>0</v>
      </c>
      <c r="P10" s="63"/>
      <c r="Q10" s="64"/>
      <c r="R10" s="65">
        <f>SUM(P10:Q10)</f>
        <v>0</v>
      </c>
      <c r="S10" s="63"/>
      <c r="T10" s="64"/>
      <c r="U10" s="65">
        <f>SUM(S10:T10)</f>
        <v>0</v>
      </c>
      <c r="V10" s="117">
        <f t="shared" si="0"/>
        <v>0</v>
      </c>
      <c r="W10" s="117">
        <f>K10-Q10</f>
        <v>0</v>
      </c>
      <c r="X10" s="118">
        <f>SUM(V10:W10)</f>
        <v>0</v>
      </c>
      <c r="Y10" s="117">
        <f t="shared" si="1"/>
        <v>0</v>
      </c>
      <c r="Z10" s="117">
        <f t="shared" si="2"/>
        <v>0</v>
      </c>
      <c r="AA10" s="118">
        <f>SUM(Y10:Z10)</f>
        <v>0</v>
      </c>
      <c r="AB10" s="63"/>
      <c r="AC10" s="64"/>
      <c r="AD10" s="64"/>
      <c r="AE10" s="51">
        <f t="shared" si="3"/>
        <v>0</v>
      </c>
      <c r="AG10" s="54">
        <f>125000+30538.34</f>
        <v>155538.34</v>
      </c>
    </row>
    <row r="11" spans="1:33" ht="22.9" customHeight="1" thickBot="1">
      <c r="A11" s="34" t="s">
        <v>4</v>
      </c>
      <c r="B11" s="164"/>
      <c r="C11" s="164"/>
      <c r="D11" s="164"/>
      <c r="E11" s="11" t="s">
        <v>5</v>
      </c>
      <c r="F11" s="9"/>
      <c r="G11" s="82"/>
      <c r="H11" s="35"/>
      <c r="I11" s="142"/>
      <c r="J11" s="12">
        <f t="shared" ref="J11:O11" si="4">SUM(J6:J10)</f>
        <v>0</v>
      </c>
      <c r="K11" s="12">
        <f t="shared" si="4"/>
        <v>3275956.13</v>
      </c>
      <c r="L11" s="12">
        <f t="shared" si="4"/>
        <v>3275956.13</v>
      </c>
      <c r="M11" s="12">
        <f t="shared" si="4"/>
        <v>0</v>
      </c>
      <c r="N11" s="12">
        <f t="shared" si="4"/>
        <v>44524.06</v>
      </c>
      <c r="O11" s="12">
        <f t="shared" si="4"/>
        <v>44524.06</v>
      </c>
      <c r="P11" s="12">
        <f t="shared" ref="P11:U11" si="5">SUM(P6:P10)</f>
        <v>0</v>
      </c>
      <c r="Q11" s="12">
        <f t="shared" si="5"/>
        <v>2932000</v>
      </c>
      <c r="R11" s="12">
        <f t="shared" si="5"/>
        <v>2932000</v>
      </c>
      <c r="S11" s="12">
        <f t="shared" si="5"/>
        <v>0</v>
      </c>
      <c r="T11" s="12">
        <f t="shared" si="5"/>
        <v>0</v>
      </c>
      <c r="U11" s="12">
        <f t="shared" si="5"/>
        <v>0</v>
      </c>
      <c r="V11" s="26">
        <f t="shared" ref="V11:AA11" si="6">SUM(V6:V10)</f>
        <v>0</v>
      </c>
      <c r="W11" s="26">
        <f t="shared" si="6"/>
        <v>343956.12999999989</v>
      </c>
      <c r="X11" s="26">
        <f t="shared" si="6"/>
        <v>343956.12999999989</v>
      </c>
      <c r="Y11" s="26">
        <f t="shared" si="6"/>
        <v>0</v>
      </c>
      <c r="Z11" s="26">
        <f t="shared" si="6"/>
        <v>44524.06</v>
      </c>
      <c r="AA11" s="26">
        <f t="shared" si="6"/>
        <v>44524.06</v>
      </c>
      <c r="AB11" s="12">
        <f>SUM(AB6:AB10)</f>
        <v>191206.15</v>
      </c>
      <c r="AC11" s="12">
        <f>SUM(AC6:AC10)</f>
        <v>2367759.62</v>
      </c>
      <c r="AD11" s="12">
        <f>SUM(AD6:AD10)</f>
        <v>371034.23</v>
      </c>
      <c r="AE11" s="12">
        <f>SUM(AE6:AE10)</f>
        <v>2930000</v>
      </c>
    </row>
    <row r="12" spans="1:33" s="54" customFormat="1" ht="33" customHeight="1">
      <c r="A12" s="103" t="s">
        <v>33</v>
      </c>
      <c r="B12" s="165">
        <v>30</v>
      </c>
      <c r="C12" s="165">
        <v>9</v>
      </c>
      <c r="D12" s="165">
        <v>16</v>
      </c>
      <c r="E12" s="47" t="s">
        <v>9</v>
      </c>
      <c r="F12" s="79">
        <v>3184</v>
      </c>
      <c r="G12" s="83" t="s">
        <v>81</v>
      </c>
      <c r="H12" s="55" t="s">
        <v>50</v>
      </c>
      <c r="I12" s="60"/>
      <c r="J12" s="56"/>
      <c r="K12" s="128">
        <f>418226.22</f>
        <v>418226.22</v>
      </c>
      <c r="L12" s="51">
        <f>SUM(J12:K12)</f>
        <v>418226.22</v>
      </c>
      <c r="M12" s="56"/>
      <c r="N12" s="59">
        <v>0</v>
      </c>
      <c r="O12" s="51">
        <f>SUM(M12:N12)</f>
        <v>0</v>
      </c>
      <c r="P12" s="56"/>
      <c r="Q12" s="59"/>
      <c r="R12" s="51">
        <f>SUM(P12:Q12)</f>
        <v>0</v>
      </c>
      <c r="S12" s="56"/>
      <c r="T12" s="59"/>
      <c r="U12" s="51">
        <f>SUM(S12:T12)</f>
        <v>0</v>
      </c>
      <c r="V12" s="117">
        <f t="shared" si="0"/>
        <v>0</v>
      </c>
      <c r="W12" s="117">
        <f t="shared" si="0"/>
        <v>418226.22</v>
      </c>
      <c r="X12" s="52">
        <f>SUM(V12:W12)</f>
        <v>418226.22</v>
      </c>
      <c r="Y12" s="117">
        <f t="shared" si="1"/>
        <v>0</v>
      </c>
      <c r="Z12" s="117">
        <f t="shared" si="2"/>
        <v>0</v>
      </c>
      <c r="AA12" s="52">
        <f>SUM(Y12:Z12)</f>
        <v>0</v>
      </c>
      <c r="AB12" s="56"/>
      <c r="AC12" s="59"/>
      <c r="AD12" s="59"/>
      <c r="AE12" s="51">
        <f t="shared" si="3"/>
        <v>0</v>
      </c>
    </row>
    <row r="13" spans="1:33" s="54" customFormat="1" ht="30" customHeight="1" thickBot="1">
      <c r="A13" s="105">
        <v>2071</v>
      </c>
      <c r="B13" s="166">
        <v>30</v>
      </c>
      <c r="C13" s="166">
        <v>6</v>
      </c>
      <c r="D13" s="166">
        <v>15</v>
      </c>
      <c r="E13" s="61" t="s">
        <v>9</v>
      </c>
      <c r="F13" s="76">
        <v>3799</v>
      </c>
      <c r="G13" s="81" t="s">
        <v>82</v>
      </c>
      <c r="H13" s="62" t="s">
        <v>53</v>
      </c>
      <c r="I13" s="87" t="s">
        <v>63</v>
      </c>
      <c r="J13" s="63"/>
      <c r="K13" s="73">
        <f>242360.93-140000</f>
        <v>102360.93</v>
      </c>
      <c r="L13" s="65">
        <f>SUM(J13:K13)</f>
        <v>102360.93</v>
      </c>
      <c r="M13" s="63"/>
      <c r="N13" s="73">
        <v>56000</v>
      </c>
      <c r="O13" s="65">
        <f>SUM(M13:N13)</f>
        <v>56000</v>
      </c>
      <c r="P13" s="63"/>
      <c r="Q13" s="64"/>
      <c r="R13" s="65">
        <f>SUM(P13:Q13)</f>
        <v>0</v>
      </c>
      <c r="S13" s="63"/>
      <c r="T13" s="73"/>
      <c r="U13" s="65">
        <f>SUM(S13:T13)</f>
        <v>0</v>
      </c>
      <c r="V13" s="117">
        <f t="shared" si="0"/>
        <v>0</v>
      </c>
      <c r="W13" s="117">
        <f t="shared" si="0"/>
        <v>102360.93</v>
      </c>
      <c r="X13" s="118">
        <f>SUM(V13:W13)</f>
        <v>102360.93</v>
      </c>
      <c r="Y13" s="117">
        <f t="shared" si="1"/>
        <v>0</v>
      </c>
      <c r="Z13" s="117">
        <f t="shared" si="2"/>
        <v>56000</v>
      </c>
      <c r="AA13" s="118">
        <f>SUM(Y13:Z13)</f>
        <v>56000</v>
      </c>
      <c r="AB13" s="63"/>
      <c r="AC13" s="73"/>
      <c r="AD13" s="73"/>
      <c r="AE13" s="51">
        <f t="shared" si="3"/>
        <v>0</v>
      </c>
    </row>
    <row r="14" spans="1:33" ht="22.9" customHeight="1" thickBot="1">
      <c r="A14" s="34" t="s">
        <v>4</v>
      </c>
      <c r="B14" s="164"/>
      <c r="C14" s="164"/>
      <c r="D14" s="164"/>
      <c r="E14" s="11" t="s">
        <v>9</v>
      </c>
      <c r="F14" s="9"/>
      <c r="G14" s="82"/>
      <c r="H14" s="35"/>
      <c r="I14" s="30"/>
      <c r="J14" s="12">
        <f t="shared" ref="J14:O14" si="7">SUM(J12:J13)</f>
        <v>0</v>
      </c>
      <c r="K14" s="12">
        <f t="shared" si="7"/>
        <v>520587.14999999997</v>
      </c>
      <c r="L14" s="12">
        <f t="shared" si="7"/>
        <v>520587.14999999997</v>
      </c>
      <c r="M14" s="12">
        <f t="shared" si="7"/>
        <v>0</v>
      </c>
      <c r="N14" s="12">
        <f t="shared" si="7"/>
        <v>56000</v>
      </c>
      <c r="O14" s="12">
        <f t="shared" si="7"/>
        <v>56000</v>
      </c>
      <c r="P14" s="12">
        <f t="shared" ref="P14:U14" si="8">SUM(P12:P13)</f>
        <v>0</v>
      </c>
      <c r="Q14" s="12">
        <f t="shared" si="8"/>
        <v>0</v>
      </c>
      <c r="R14" s="12">
        <f t="shared" si="8"/>
        <v>0</v>
      </c>
      <c r="S14" s="12">
        <f t="shared" si="8"/>
        <v>0</v>
      </c>
      <c r="T14" s="12">
        <f t="shared" si="8"/>
        <v>0</v>
      </c>
      <c r="U14" s="12">
        <f t="shared" si="8"/>
        <v>0</v>
      </c>
      <c r="V14" s="26">
        <f t="shared" ref="V14:AA14" si="9">SUM(V12:V13)</f>
        <v>0</v>
      </c>
      <c r="W14" s="26">
        <f t="shared" si="9"/>
        <v>520587.14999999997</v>
      </c>
      <c r="X14" s="26">
        <f t="shared" si="9"/>
        <v>520587.14999999997</v>
      </c>
      <c r="Y14" s="26">
        <f t="shared" si="9"/>
        <v>0</v>
      </c>
      <c r="Z14" s="26">
        <f t="shared" si="9"/>
        <v>56000</v>
      </c>
      <c r="AA14" s="26">
        <f t="shared" si="9"/>
        <v>56000</v>
      </c>
      <c r="AB14" s="12">
        <f>SUM(AB12:AB13)</f>
        <v>0</v>
      </c>
      <c r="AC14" s="12">
        <f>SUM(AC12:AC13)</f>
        <v>0</v>
      </c>
      <c r="AD14" s="12">
        <f>SUM(AD12:AD13)</f>
        <v>0</v>
      </c>
      <c r="AE14" s="12">
        <f>SUM(AE12:AE13)</f>
        <v>0</v>
      </c>
    </row>
    <row r="15" spans="1:33" s="54" customFormat="1" ht="33" customHeight="1">
      <c r="A15" s="103" t="s">
        <v>68</v>
      </c>
      <c r="B15" s="160">
        <v>31</v>
      </c>
      <c r="C15" s="160">
        <v>12</v>
      </c>
      <c r="D15" s="160">
        <v>16</v>
      </c>
      <c r="E15" s="47" t="s">
        <v>7</v>
      </c>
      <c r="F15" s="79">
        <v>3634</v>
      </c>
      <c r="G15" s="83" t="s">
        <v>83</v>
      </c>
      <c r="H15" s="55" t="s">
        <v>331</v>
      </c>
      <c r="I15" s="86" t="s">
        <v>332</v>
      </c>
      <c r="J15" s="59" t="s">
        <v>332</v>
      </c>
      <c r="K15" s="56">
        <f>2300000-2300000+43416.6</f>
        <v>43416.6</v>
      </c>
      <c r="L15" s="51">
        <f t="shared" ref="L15:L22" si="10">SUM(J15:K15)</f>
        <v>43416.6</v>
      </c>
      <c r="M15" s="123">
        <f>109652.77-25000</f>
        <v>84652.77</v>
      </c>
      <c r="N15" s="124">
        <v>25000</v>
      </c>
      <c r="O15" s="51">
        <f t="shared" ref="O15:O22" si="11">SUM(M15:N15)</f>
        <v>109652.77</v>
      </c>
      <c r="P15" s="59">
        <f>30000+200000+50000+20000+231000-43416.6</f>
        <v>487583.4</v>
      </c>
      <c r="Q15" s="56">
        <v>43416.6</v>
      </c>
      <c r="R15" s="51">
        <f t="shared" ref="R15:R22" si="12">SUM(P15:Q15)</f>
        <v>531000</v>
      </c>
      <c r="S15" s="59">
        <v>28400</v>
      </c>
      <c r="T15" s="56">
        <v>6135.83</v>
      </c>
      <c r="U15" s="51">
        <f t="shared" ref="U15:U22" si="13">SUM(S15:T15)</f>
        <v>34535.83</v>
      </c>
      <c r="V15" s="53" t="e">
        <f t="shared" ref="V15:V22" si="14">J15-P15</f>
        <v>#VALUE!</v>
      </c>
      <c r="W15" s="119">
        <f t="shared" ref="W15:W20" si="15">K15-Q15</f>
        <v>0</v>
      </c>
      <c r="X15" s="52" t="e">
        <f t="shared" ref="X15:X22" si="16">SUM(V15:W15)</f>
        <v>#VALUE!</v>
      </c>
      <c r="Y15" s="117">
        <f t="shared" si="1"/>
        <v>56252.770000000004</v>
      </c>
      <c r="Z15" s="117">
        <f t="shared" si="1"/>
        <v>18864.169999999998</v>
      </c>
      <c r="AA15" s="52">
        <f t="shared" ref="AA15:AA22" si="17">SUM(Y15:Z15)</f>
        <v>75116.94</v>
      </c>
      <c r="AB15" s="59">
        <v>0</v>
      </c>
      <c r="AC15" s="56">
        <f>206840</f>
        <v>206840</v>
      </c>
      <c r="AD15" s="56">
        <f>324160</f>
        <v>324160</v>
      </c>
      <c r="AE15" s="51">
        <f t="shared" si="3"/>
        <v>531000</v>
      </c>
    </row>
    <row r="16" spans="1:33" s="54" customFormat="1" ht="33" customHeight="1">
      <c r="A16" s="103" t="s">
        <v>34</v>
      </c>
      <c r="B16" s="167">
        <v>31</v>
      </c>
      <c r="C16" s="167">
        <v>12</v>
      </c>
      <c r="D16" s="167">
        <v>15</v>
      </c>
      <c r="E16" s="47" t="s">
        <v>7</v>
      </c>
      <c r="F16" s="75">
        <v>3900</v>
      </c>
      <c r="G16" s="80" t="s">
        <v>84</v>
      </c>
      <c r="H16" s="48" t="s">
        <v>27</v>
      </c>
      <c r="I16" s="53"/>
      <c r="J16" s="49"/>
      <c r="K16" s="73">
        <f>124957.65</f>
        <v>124957.65</v>
      </c>
      <c r="L16" s="51">
        <f t="shared" si="10"/>
        <v>124957.65</v>
      </c>
      <c r="M16" s="49"/>
      <c r="N16" s="50">
        <f>3051.35</f>
        <v>3051.35</v>
      </c>
      <c r="O16" s="51">
        <f t="shared" si="11"/>
        <v>3051.35</v>
      </c>
      <c r="P16" s="49"/>
      <c r="Q16" s="64">
        <v>120000</v>
      </c>
      <c r="R16" s="51">
        <f t="shared" si="12"/>
        <v>120000</v>
      </c>
      <c r="S16" s="49"/>
      <c r="T16" s="50"/>
      <c r="U16" s="51">
        <f t="shared" si="13"/>
        <v>0</v>
      </c>
      <c r="V16" s="53">
        <f t="shared" si="14"/>
        <v>0</v>
      </c>
      <c r="W16" s="119">
        <f t="shared" si="15"/>
        <v>4957.6499999999942</v>
      </c>
      <c r="X16" s="52">
        <f t="shared" si="16"/>
        <v>4957.6499999999942</v>
      </c>
      <c r="Y16" s="117">
        <f t="shared" si="1"/>
        <v>0</v>
      </c>
      <c r="Z16" s="117">
        <f t="shared" si="1"/>
        <v>3051.35</v>
      </c>
      <c r="AA16" s="52">
        <f t="shared" si="17"/>
        <v>3051.35</v>
      </c>
      <c r="AB16" s="49">
        <v>0</v>
      </c>
      <c r="AC16" s="50">
        <v>120000</v>
      </c>
      <c r="AD16" s="50">
        <v>0</v>
      </c>
      <c r="AE16" s="51">
        <f t="shared" si="3"/>
        <v>120000</v>
      </c>
    </row>
    <row r="17" spans="1:31" s="54" customFormat="1" ht="76.5" customHeight="1">
      <c r="A17" s="77" t="s">
        <v>43</v>
      </c>
      <c r="B17" s="163">
        <v>20</v>
      </c>
      <c r="C17" s="163">
        <v>11</v>
      </c>
      <c r="D17" s="163">
        <v>16</v>
      </c>
      <c r="E17" s="61" t="s">
        <v>7</v>
      </c>
      <c r="F17" s="76">
        <v>4074</v>
      </c>
      <c r="G17" s="81" t="s">
        <v>85</v>
      </c>
      <c r="H17" s="62" t="s">
        <v>49</v>
      </c>
      <c r="I17" s="53"/>
      <c r="J17" s="63"/>
      <c r="K17" s="64">
        <f>3154516.04+94065.15</f>
        <v>3248581.19</v>
      </c>
      <c r="L17" s="51">
        <f t="shared" si="10"/>
        <v>3248581.19</v>
      </c>
      <c r="M17" s="63"/>
      <c r="N17" s="64">
        <f>216000</f>
        <v>216000</v>
      </c>
      <c r="O17" s="51">
        <f t="shared" si="11"/>
        <v>216000</v>
      </c>
      <c r="P17" s="63"/>
      <c r="Q17" s="64">
        <f>3008600+141400-13416.6</f>
        <v>3136583.4</v>
      </c>
      <c r="R17" s="51">
        <f t="shared" si="12"/>
        <v>3136583.4</v>
      </c>
      <c r="S17" s="63"/>
      <c r="T17" s="64"/>
      <c r="U17" s="51">
        <f t="shared" si="13"/>
        <v>0</v>
      </c>
      <c r="V17" s="53">
        <f t="shared" si="14"/>
        <v>0</v>
      </c>
      <c r="W17" s="119">
        <f t="shared" si="15"/>
        <v>111997.79000000004</v>
      </c>
      <c r="X17" s="52">
        <f t="shared" si="16"/>
        <v>111997.79000000004</v>
      </c>
      <c r="Y17" s="117">
        <f t="shared" si="1"/>
        <v>0</v>
      </c>
      <c r="Z17" s="117">
        <f t="shared" si="1"/>
        <v>216000</v>
      </c>
      <c r="AA17" s="52">
        <f t="shared" si="17"/>
        <v>216000</v>
      </c>
      <c r="AB17" s="63">
        <f>100000</f>
        <v>100000</v>
      </c>
      <c r="AC17" s="64">
        <f>8600</f>
        <v>8600</v>
      </c>
      <c r="AD17" s="64">
        <f>141400</f>
        <v>141400</v>
      </c>
      <c r="AE17" s="51">
        <f t="shared" si="3"/>
        <v>250000</v>
      </c>
    </row>
    <row r="18" spans="1:31" s="54" customFormat="1" ht="38.25" customHeight="1">
      <c r="A18" s="77" t="s">
        <v>45</v>
      </c>
      <c r="B18" s="168">
        <v>2</v>
      </c>
      <c r="C18" s="168">
        <v>11</v>
      </c>
      <c r="D18" s="168">
        <v>15</v>
      </c>
      <c r="E18" s="61" t="s">
        <v>7</v>
      </c>
      <c r="F18" s="76">
        <v>4112</v>
      </c>
      <c r="G18" s="81" t="s">
        <v>86</v>
      </c>
      <c r="H18" s="62" t="s">
        <v>48</v>
      </c>
      <c r="I18" s="53"/>
      <c r="J18" s="63"/>
      <c r="K18" s="64">
        <f>308043.01</f>
        <v>308043.01</v>
      </c>
      <c r="L18" s="51">
        <f t="shared" si="10"/>
        <v>308043.01</v>
      </c>
      <c r="M18" s="63"/>
      <c r="N18" s="64">
        <f>53239.52</f>
        <v>53239.519999999997</v>
      </c>
      <c r="O18" s="51">
        <f t="shared" si="11"/>
        <v>53239.519999999997</v>
      </c>
      <c r="P18" s="63"/>
      <c r="Q18" s="64">
        <v>250000</v>
      </c>
      <c r="R18" s="51">
        <f t="shared" si="12"/>
        <v>250000</v>
      </c>
      <c r="S18" s="63"/>
      <c r="T18" s="64"/>
      <c r="U18" s="51">
        <f t="shared" si="13"/>
        <v>0</v>
      </c>
      <c r="V18" s="53">
        <f t="shared" si="14"/>
        <v>0</v>
      </c>
      <c r="W18" s="119">
        <f t="shared" si="15"/>
        <v>58043.010000000009</v>
      </c>
      <c r="X18" s="52">
        <f t="shared" si="16"/>
        <v>58043.010000000009</v>
      </c>
      <c r="Y18" s="117">
        <f t="shared" si="1"/>
        <v>0</v>
      </c>
      <c r="Z18" s="117">
        <f t="shared" si="1"/>
        <v>53239.519999999997</v>
      </c>
      <c r="AA18" s="52">
        <f t="shared" si="17"/>
        <v>53239.519999999997</v>
      </c>
      <c r="AB18" s="63">
        <f>100000</f>
        <v>100000</v>
      </c>
      <c r="AC18" s="64">
        <f>150000</f>
        <v>150000</v>
      </c>
      <c r="AD18" s="64"/>
      <c r="AE18" s="51">
        <f t="shared" si="3"/>
        <v>250000</v>
      </c>
    </row>
    <row r="19" spans="1:31" s="54" customFormat="1" ht="33" customHeight="1">
      <c r="A19" s="77" t="s">
        <v>69</v>
      </c>
      <c r="B19" s="163">
        <v>31</v>
      </c>
      <c r="C19" s="163">
        <v>7</v>
      </c>
      <c r="D19" s="163">
        <v>16</v>
      </c>
      <c r="E19" s="61" t="s">
        <v>7</v>
      </c>
      <c r="F19" s="76">
        <v>4207</v>
      </c>
      <c r="G19" s="81" t="s">
        <v>87</v>
      </c>
      <c r="H19" s="62" t="s">
        <v>60</v>
      </c>
      <c r="I19" s="53"/>
      <c r="J19" s="64"/>
      <c r="K19" s="64">
        <f>61795.88</f>
        <v>61795.88</v>
      </c>
      <c r="L19" s="51">
        <f t="shared" si="10"/>
        <v>61795.88</v>
      </c>
      <c r="M19" s="64"/>
      <c r="N19" s="64">
        <f>16695.63</f>
        <v>16695.63</v>
      </c>
      <c r="O19" s="51">
        <f t="shared" si="11"/>
        <v>16695.63</v>
      </c>
      <c r="P19" s="64"/>
      <c r="Q19" s="64">
        <v>60000</v>
      </c>
      <c r="R19" s="51">
        <f t="shared" si="12"/>
        <v>60000</v>
      </c>
      <c r="S19" s="64"/>
      <c r="T19" s="64"/>
      <c r="U19" s="51">
        <f t="shared" si="13"/>
        <v>0</v>
      </c>
      <c r="V19" s="53">
        <f t="shared" si="14"/>
        <v>0</v>
      </c>
      <c r="W19" s="119">
        <f t="shared" si="15"/>
        <v>1795.8799999999974</v>
      </c>
      <c r="X19" s="52">
        <f t="shared" si="16"/>
        <v>1795.8799999999974</v>
      </c>
      <c r="Y19" s="117">
        <f t="shared" si="1"/>
        <v>0</v>
      </c>
      <c r="Z19" s="117">
        <f t="shared" si="1"/>
        <v>16695.63</v>
      </c>
      <c r="AA19" s="52">
        <f t="shared" si="17"/>
        <v>16695.63</v>
      </c>
      <c r="AB19" s="64">
        <f>30000</f>
        <v>30000</v>
      </c>
      <c r="AC19" s="64">
        <f>30000</f>
        <v>30000</v>
      </c>
      <c r="AD19" s="64"/>
      <c r="AE19" s="51">
        <f t="shared" si="3"/>
        <v>60000</v>
      </c>
    </row>
    <row r="20" spans="1:31" s="54" customFormat="1" ht="44.25" customHeight="1">
      <c r="A20" s="77" t="s">
        <v>70</v>
      </c>
      <c r="B20" s="169">
        <v>4</v>
      </c>
      <c r="C20" s="169">
        <v>5</v>
      </c>
      <c r="D20" s="169">
        <v>16</v>
      </c>
      <c r="E20" s="61" t="s">
        <v>7</v>
      </c>
      <c r="F20" s="76">
        <v>4208</v>
      </c>
      <c r="G20" s="81" t="s">
        <v>88</v>
      </c>
      <c r="H20" s="62" t="s">
        <v>67</v>
      </c>
      <c r="I20" s="66"/>
      <c r="J20" s="64"/>
      <c r="K20" s="64">
        <f>164159.6+9603.69</f>
        <v>173763.29</v>
      </c>
      <c r="L20" s="51">
        <f t="shared" si="10"/>
        <v>173763.29</v>
      </c>
      <c r="M20" s="64"/>
      <c r="N20" s="64">
        <f>8420.29</f>
        <v>8420.2900000000009</v>
      </c>
      <c r="O20" s="51">
        <f t="shared" si="11"/>
        <v>8420.2900000000009</v>
      </c>
      <c r="P20" s="64"/>
      <c r="Q20" s="64">
        <f>100000+64159.6+6000</f>
        <v>170159.6</v>
      </c>
      <c r="R20" s="51">
        <f t="shared" si="12"/>
        <v>170159.6</v>
      </c>
      <c r="S20" s="64"/>
      <c r="T20" s="64"/>
      <c r="U20" s="51">
        <f t="shared" si="13"/>
        <v>0</v>
      </c>
      <c r="V20" s="53">
        <f t="shared" si="14"/>
        <v>0</v>
      </c>
      <c r="W20" s="119">
        <f t="shared" si="15"/>
        <v>3603.6900000000023</v>
      </c>
      <c r="X20" s="52">
        <f t="shared" si="16"/>
        <v>3603.6900000000023</v>
      </c>
      <c r="Y20" s="117">
        <f t="shared" si="1"/>
        <v>0</v>
      </c>
      <c r="Z20" s="117">
        <f t="shared" si="1"/>
        <v>8420.2900000000009</v>
      </c>
      <c r="AA20" s="52">
        <f t="shared" si="17"/>
        <v>8420.2900000000009</v>
      </c>
      <c r="AB20" s="64">
        <v>0</v>
      </c>
      <c r="AC20" s="64">
        <f>30074.61+6000</f>
        <v>36074.61</v>
      </c>
      <c r="AD20" s="64">
        <f>134084.99</f>
        <v>134084.99</v>
      </c>
      <c r="AE20" s="51">
        <f t="shared" si="3"/>
        <v>170159.59999999998</v>
      </c>
    </row>
    <row r="21" spans="1:31" s="54" customFormat="1" ht="60" customHeight="1">
      <c r="A21" s="77" t="s">
        <v>71</v>
      </c>
      <c r="B21" s="163">
        <v>29</v>
      </c>
      <c r="C21" s="163">
        <v>7</v>
      </c>
      <c r="D21" s="163">
        <v>16</v>
      </c>
      <c r="E21" s="61" t="s">
        <v>7</v>
      </c>
      <c r="F21" s="76">
        <v>4257</v>
      </c>
      <c r="G21" s="81" t="s">
        <v>89</v>
      </c>
      <c r="H21" s="62" t="s">
        <v>66</v>
      </c>
      <c r="I21" s="89" t="s">
        <v>141</v>
      </c>
      <c r="J21" s="64"/>
      <c r="K21" s="64">
        <f>110996.51+12706.63</f>
        <v>123703.14</v>
      </c>
      <c r="L21" s="51">
        <f t="shared" si="10"/>
        <v>123703.14</v>
      </c>
      <c r="M21" s="64"/>
      <c r="N21" s="73">
        <v>16111.2</v>
      </c>
      <c r="O21" s="51">
        <f t="shared" si="11"/>
        <v>16111.2</v>
      </c>
      <c r="P21" s="64"/>
      <c r="Q21" s="64">
        <f>50000+61000</f>
        <v>111000</v>
      </c>
      <c r="R21" s="51">
        <f t="shared" si="12"/>
        <v>111000</v>
      </c>
      <c r="S21" s="64"/>
      <c r="T21" s="64"/>
      <c r="U21" s="51">
        <f t="shared" si="13"/>
        <v>0</v>
      </c>
      <c r="V21" s="53">
        <f t="shared" si="14"/>
        <v>0</v>
      </c>
      <c r="W21" s="53">
        <f>K21-Q21</f>
        <v>12703.14</v>
      </c>
      <c r="X21" s="52">
        <f t="shared" si="16"/>
        <v>12703.14</v>
      </c>
      <c r="Y21" s="117">
        <f t="shared" si="1"/>
        <v>0</v>
      </c>
      <c r="Z21" s="117">
        <f t="shared" si="1"/>
        <v>16111.2</v>
      </c>
      <c r="AA21" s="52">
        <f t="shared" si="17"/>
        <v>16111.2</v>
      </c>
      <c r="AB21" s="64">
        <v>0</v>
      </c>
      <c r="AC21" s="64">
        <f>100000</f>
        <v>100000</v>
      </c>
      <c r="AD21" s="64">
        <v>0</v>
      </c>
      <c r="AE21" s="51">
        <f t="shared" si="3"/>
        <v>100000</v>
      </c>
    </row>
    <row r="22" spans="1:31" s="54" customFormat="1" ht="44.25" customHeight="1" thickBot="1">
      <c r="A22" s="77" t="s">
        <v>112</v>
      </c>
      <c r="B22" s="163">
        <v>10</v>
      </c>
      <c r="C22" s="163">
        <v>12</v>
      </c>
      <c r="D22" s="163">
        <v>16</v>
      </c>
      <c r="E22" s="61" t="s">
        <v>7</v>
      </c>
      <c r="F22" s="76">
        <v>4318</v>
      </c>
      <c r="G22" s="81" t="s">
        <v>113</v>
      </c>
      <c r="H22" s="62" t="s">
        <v>111</v>
      </c>
      <c r="I22" s="86" t="s">
        <v>104</v>
      </c>
      <c r="J22" s="64"/>
      <c r="K22" s="64">
        <f>150000</f>
        <v>150000</v>
      </c>
      <c r="L22" s="51">
        <f t="shared" si="10"/>
        <v>150000</v>
      </c>
      <c r="M22" s="64"/>
      <c r="N22" s="64">
        <f>34699.8</f>
        <v>34699.800000000003</v>
      </c>
      <c r="O22" s="51">
        <f t="shared" si="11"/>
        <v>34699.800000000003</v>
      </c>
      <c r="P22" s="64"/>
      <c r="Q22" s="64"/>
      <c r="R22" s="51">
        <f t="shared" si="12"/>
        <v>0</v>
      </c>
      <c r="S22" s="64"/>
      <c r="T22" s="64"/>
      <c r="U22" s="51">
        <f t="shared" si="13"/>
        <v>0</v>
      </c>
      <c r="V22" s="53">
        <f t="shared" si="14"/>
        <v>0</v>
      </c>
      <c r="W22" s="119">
        <f>K22-Q22</f>
        <v>150000</v>
      </c>
      <c r="X22" s="52">
        <f t="shared" si="16"/>
        <v>150000</v>
      </c>
      <c r="Y22" s="117">
        <f t="shared" si="1"/>
        <v>0</v>
      </c>
      <c r="Z22" s="117">
        <f t="shared" si="1"/>
        <v>34699.800000000003</v>
      </c>
      <c r="AA22" s="52">
        <f t="shared" si="17"/>
        <v>34699.800000000003</v>
      </c>
      <c r="AB22" s="64"/>
      <c r="AC22" s="64"/>
      <c r="AD22" s="64"/>
      <c r="AE22" s="51">
        <f t="shared" si="3"/>
        <v>0</v>
      </c>
    </row>
    <row r="23" spans="1:31" ht="22.9" customHeight="1" thickBot="1">
      <c r="A23" s="42" t="s">
        <v>4</v>
      </c>
      <c r="B23" s="164"/>
      <c r="C23" s="164"/>
      <c r="D23" s="164"/>
      <c r="E23" s="11" t="s">
        <v>7</v>
      </c>
      <c r="F23" s="9"/>
      <c r="G23" s="82"/>
      <c r="H23" s="35"/>
      <c r="I23" s="30"/>
      <c r="J23" s="12">
        <f t="shared" ref="J23:O23" si="18">SUM(J15:J22)</f>
        <v>0</v>
      </c>
      <c r="K23" s="12">
        <f t="shared" si="18"/>
        <v>4234260.76</v>
      </c>
      <c r="L23" s="12">
        <f t="shared" si="18"/>
        <v>4234260.76</v>
      </c>
      <c r="M23" s="12">
        <f t="shared" si="18"/>
        <v>84652.77</v>
      </c>
      <c r="N23" s="12">
        <f t="shared" si="18"/>
        <v>373217.79</v>
      </c>
      <c r="O23" s="12">
        <f t="shared" si="18"/>
        <v>457870.56</v>
      </c>
      <c r="P23" s="12">
        <f t="shared" ref="P23:U23" si="19">SUM(P15:P22)</f>
        <v>487583.4</v>
      </c>
      <c r="Q23" s="12">
        <f t="shared" si="19"/>
        <v>3891159.6</v>
      </c>
      <c r="R23" s="12">
        <f t="shared" si="19"/>
        <v>4378743</v>
      </c>
      <c r="S23" s="12">
        <f t="shared" si="19"/>
        <v>28400</v>
      </c>
      <c r="T23" s="12">
        <f t="shared" si="19"/>
        <v>6135.83</v>
      </c>
      <c r="U23" s="12">
        <f t="shared" si="19"/>
        <v>34535.83</v>
      </c>
      <c r="V23" s="26" t="e">
        <f t="shared" ref="V23:AA23" si="20">SUM(V15:V22)</f>
        <v>#VALUE!</v>
      </c>
      <c r="W23" s="26">
        <f t="shared" si="20"/>
        <v>343101.16000000003</v>
      </c>
      <c r="X23" s="26" t="e">
        <f t="shared" si="20"/>
        <v>#VALUE!</v>
      </c>
      <c r="Y23" s="26">
        <f t="shared" si="20"/>
        <v>56252.770000000004</v>
      </c>
      <c r="Z23" s="26">
        <f t="shared" si="20"/>
        <v>367081.95999999996</v>
      </c>
      <c r="AA23" s="26">
        <f t="shared" si="20"/>
        <v>423334.73000000004</v>
      </c>
      <c r="AB23" s="12">
        <f>SUM(AB15:AB22)</f>
        <v>230000</v>
      </c>
      <c r="AC23" s="12">
        <f>SUM(AC15:AC22)</f>
        <v>651514.61</v>
      </c>
      <c r="AD23" s="12">
        <f>SUM(AD15:AD22)</f>
        <v>599644.99</v>
      </c>
      <c r="AE23" s="12">
        <f>SUM(AE15:AE22)</f>
        <v>1481159.6</v>
      </c>
    </row>
    <row r="24" spans="1:31" s="54" customFormat="1" ht="33" customHeight="1">
      <c r="A24" s="77" t="s">
        <v>42</v>
      </c>
      <c r="B24" s="170">
        <v>10</v>
      </c>
      <c r="C24" s="170">
        <v>5</v>
      </c>
      <c r="D24" s="170">
        <v>17</v>
      </c>
      <c r="E24" s="61" t="s">
        <v>10</v>
      </c>
      <c r="F24" s="76">
        <v>4073</v>
      </c>
      <c r="G24" s="81" t="s">
        <v>90</v>
      </c>
      <c r="H24" s="62" t="s">
        <v>41</v>
      </c>
      <c r="I24" s="66"/>
      <c r="J24" s="73">
        <f>1011554.14-93000</f>
        <v>918554.14</v>
      </c>
      <c r="K24" s="73">
        <v>93000</v>
      </c>
      <c r="L24" s="65">
        <f t="shared" ref="L24:L31" si="21">SUM(J24:K24)</f>
        <v>1011554.14</v>
      </c>
      <c r="M24" s="63"/>
      <c r="N24" s="63">
        <f>11000</f>
        <v>11000</v>
      </c>
      <c r="O24" s="65">
        <f t="shared" ref="O24:O31" si="22">SUM(M24:N24)</f>
        <v>11000</v>
      </c>
      <c r="P24" s="73">
        <f>50000+150000+100000</f>
        <v>300000</v>
      </c>
      <c r="Q24" s="73"/>
      <c r="R24" s="65">
        <f t="shared" ref="R24:R31" si="23">SUM(P24:Q24)</f>
        <v>300000</v>
      </c>
      <c r="S24" s="63"/>
      <c r="T24" s="63"/>
      <c r="U24" s="65">
        <f t="shared" ref="U24:U31" si="24">SUM(S24:T24)</f>
        <v>0</v>
      </c>
      <c r="V24" s="53">
        <f t="shared" ref="V24:W29" si="25">J24-P24</f>
        <v>618554.14</v>
      </c>
      <c r="W24" s="119">
        <f t="shared" si="25"/>
        <v>93000</v>
      </c>
      <c r="X24" s="118">
        <f t="shared" ref="X24:X31" si="26">SUM(V24:W24)</f>
        <v>711554.14</v>
      </c>
      <c r="Y24" s="117">
        <f t="shared" si="1"/>
        <v>0</v>
      </c>
      <c r="Z24" s="117">
        <f t="shared" si="1"/>
        <v>11000</v>
      </c>
      <c r="AA24" s="118">
        <f t="shared" ref="AA24:AA31" si="27">SUM(Y24:Z24)</f>
        <v>11000</v>
      </c>
      <c r="AB24" s="63">
        <v>0</v>
      </c>
      <c r="AC24" s="63">
        <f>59259</f>
        <v>59259</v>
      </c>
      <c r="AD24" s="63">
        <f>226780</f>
        <v>226780</v>
      </c>
      <c r="AE24" s="51">
        <f t="shared" si="3"/>
        <v>286039</v>
      </c>
    </row>
    <row r="25" spans="1:31" s="54" customFormat="1" ht="89.25" customHeight="1">
      <c r="A25" s="77" t="s">
        <v>54</v>
      </c>
      <c r="B25" s="170">
        <v>17</v>
      </c>
      <c r="C25" s="170">
        <v>5</v>
      </c>
      <c r="D25" s="170">
        <v>17</v>
      </c>
      <c r="E25" s="61" t="s">
        <v>10</v>
      </c>
      <c r="F25" s="76">
        <v>4167</v>
      </c>
      <c r="G25" s="81" t="s">
        <v>91</v>
      </c>
      <c r="H25" s="62" t="s">
        <v>57</v>
      </c>
      <c r="I25" s="66"/>
      <c r="J25" s="64">
        <f>514054.2</f>
        <v>514054.2</v>
      </c>
      <c r="K25" s="64"/>
      <c r="L25" s="65">
        <f t="shared" si="21"/>
        <v>514054.2</v>
      </c>
      <c r="M25" s="64">
        <f>50000</f>
        <v>50000</v>
      </c>
      <c r="N25" s="64"/>
      <c r="O25" s="65">
        <f t="shared" si="22"/>
        <v>50000</v>
      </c>
      <c r="P25" s="64">
        <f>100000-100000+100000</f>
        <v>100000</v>
      </c>
      <c r="Q25" s="64"/>
      <c r="R25" s="65">
        <f t="shared" si="23"/>
        <v>100000</v>
      </c>
      <c r="S25" s="64"/>
      <c r="T25" s="64"/>
      <c r="U25" s="65">
        <f t="shared" si="24"/>
        <v>0</v>
      </c>
      <c r="V25" s="53">
        <f t="shared" si="25"/>
        <v>414054.2</v>
      </c>
      <c r="W25" s="119">
        <f t="shared" si="25"/>
        <v>0</v>
      </c>
      <c r="X25" s="118">
        <f t="shared" si="26"/>
        <v>414054.2</v>
      </c>
      <c r="Y25" s="117">
        <f t="shared" si="1"/>
        <v>50000</v>
      </c>
      <c r="Z25" s="117">
        <f t="shared" si="1"/>
        <v>0</v>
      </c>
      <c r="AA25" s="118">
        <f t="shared" si="27"/>
        <v>50000</v>
      </c>
      <c r="AB25" s="64">
        <f>100000-50000</f>
        <v>50000</v>
      </c>
      <c r="AC25" s="64">
        <v>50000</v>
      </c>
      <c r="AD25" s="64"/>
      <c r="AE25" s="51">
        <f t="shared" si="3"/>
        <v>100000</v>
      </c>
    </row>
    <row r="26" spans="1:31" s="54" customFormat="1" ht="38.25" customHeight="1">
      <c r="A26" s="77" t="s">
        <v>56</v>
      </c>
      <c r="B26" s="169">
        <v>24</v>
      </c>
      <c r="C26" s="169">
        <v>2</v>
      </c>
      <c r="D26" s="169">
        <v>16</v>
      </c>
      <c r="E26" s="61" t="s">
        <v>10</v>
      </c>
      <c r="F26" s="76">
        <v>4177</v>
      </c>
      <c r="G26" s="81" t="s">
        <v>92</v>
      </c>
      <c r="H26" s="62" t="s">
        <v>116</v>
      </c>
      <c r="I26" s="53"/>
      <c r="J26" s="64">
        <f>136402.78</f>
        <v>136402.78</v>
      </c>
      <c r="K26" s="64"/>
      <c r="L26" s="65">
        <f t="shared" si="21"/>
        <v>136402.78</v>
      </c>
      <c r="M26" s="64">
        <f>6490</f>
        <v>6490</v>
      </c>
      <c r="N26" s="64"/>
      <c r="O26" s="65">
        <f t="shared" si="22"/>
        <v>6490</v>
      </c>
      <c r="P26" s="64">
        <v>40000</v>
      </c>
      <c r="Q26" s="64"/>
      <c r="R26" s="65">
        <f t="shared" si="23"/>
        <v>40000</v>
      </c>
      <c r="S26" s="64"/>
      <c r="T26" s="64"/>
      <c r="U26" s="65">
        <f t="shared" si="24"/>
        <v>0</v>
      </c>
      <c r="V26" s="53">
        <f t="shared" si="25"/>
        <v>96402.78</v>
      </c>
      <c r="W26" s="119">
        <f t="shared" si="25"/>
        <v>0</v>
      </c>
      <c r="X26" s="118">
        <f t="shared" si="26"/>
        <v>96402.78</v>
      </c>
      <c r="Y26" s="117">
        <f t="shared" ref="Y26:Z42" si="28">M26-S26</f>
        <v>6490</v>
      </c>
      <c r="Z26" s="117">
        <f t="shared" si="28"/>
        <v>0</v>
      </c>
      <c r="AA26" s="118">
        <f t="shared" si="27"/>
        <v>6490</v>
      </c>
      <c r="AB26" s="64">
        <v>0</v>
      </c>
      <c r="AC26" s="64">
        <f>40000</f>
        <v>40000</v>
      </c>
      <c r="AD26" s="64"/>
      <c r="AE26" s="51">
        <f t="shared" si="3"/>
        <v>40000</v>
      </c>
    </row>
    <row r="27" spans="1:31" s="54" customFormat="1" ht="38.25" customHeight="1">
      <c r="A27" s="77" t="s">
        <v>58</v>
      </c>
      <c r="B27" s="171">
        <v>20</v>
      </c>
      <c r="C27" s="171">
        <v>2</v>
      </c>
      <c r="D27" s="171">
        <v>17</v>
      </c>
      <c r="E27" s="61" t="s">
        <v>10</v>
      </c>
      <c r="F27" s="76">
        <v>4179</v>
      </c>
      <c r="G27" s="81" t="s">
        <v>93</v>
      </c>
      <c r="H27" s="62" t="s">
        <v>116</v>
      </c>
      <c r="I27" s="53"/>
      <c r="J27" s="64">
        <f>182337.2+91666.92</f>
        <v>274004.12</v>
      </c>
      <c r="K27" s="64"/>
      <c r="L27" s="65">
        <f t="shared" si="21"/>
        <v>274004.12</v>
      </c>
      <c r="M27" s="64">
        <f>9269.35</f>
        <v>9269.35</v>
      </c>
      <c r="N27" s="64"/>
      <c r="O27" s="65">
        <f t="shared" si="22"/>
        <v>9269.35</v>
      </c>
      <c r="P27" s="64">
        <f>10000+50000+122300</f>
        <v>182300</v>
      </c>
      <c r="Q27" s="64"/>
      <c r="R27" s="65">
        <f t="shared" si="23"/>
        <v>182300</v>
      </c>
      <c r="S27" s="64"/>
      <c r="T27" s="64"/>
      <c r="U27" s="65">
        <f t="shared" si="24"/>
        <v>0</v>
      </c>
      <c r="V27" s="53">
        <f t="shared" si="25"/>
        <v>91704.12</v>
      </c>
      <c r="W27" s="119">
        <f t="shared" si="25"/>
        <v>0</v>
      </c>
      <c r="X27" s="118">
        <f t="shared" si="26"/>
        <v>91704.12</v>
      </c>
      <c r="Y27" s="117">
        <f t="shared" si="28"/>
        <v>9269.35</v>
      </c>
      <c r="Z27" s="117">
        <f t="shared" si="28"/>
        <v>0</v>
      </c>
      <c r="AA27" s="118">
        <f t="shared" si="27"/>
        <v>9269.35</v>
      </c>
      <c r="AB27" s="64">
        <f>51800-7200-18600</f>
        <v>26000</v>
      </c>
      <c r="AC27" s="64">
        <f>2740+7200+18600</f>
        <v>28540</v>
      </c>
      <c r="AD27" s="64">
        <f>65460</f>
        <v>65460</v>
      </c>
      <c r="AE27" s="51">
        <f t="shared" si="3"/>
        <v>120000</v>
      </c>
    </row>
    <row r="28" spans="1:31" s="54" customFormat="1" ht="33" customHeight="1">
      <c r="A28" s="77" t="s">
        <v>76</v>
      </c>
      <c r="B28" s="162">
        <v>10</v>
      </c>
      <c r="C28" s="162">
        <v>11</v>
      </c>
      <c r="D28" s="162">
        <v>16</v>
      </c>
      <c r="E28" s="61" t="s">
        <v>10</v>
      </c>
      <c r="F28" s="76">
        <v>4223</v>
      </c>
      <c r="G28" s="81" t="s">
        <v>94</v>
      </c>
      <c r="H28" s="62" t="s">
        <v>65</v>
      </c>
      <c r="I28" s="86" t="s">
        <v>104</v>
      </c>
      <c r="J28" s="50"/>
      <c r="K28" s="50">
        <f>1250000-1250000</f>
        <v>0</v>
      </c>
      <c r="L28" s="65">
        <f t="shared" si="21"/>
        <v>0</v>
      </c>
      <c r="M28" s="64"/>
      <c r="N28" s="64">
        <v>0</v>
      </c>
      <c r="O28" s="65">
        <f t="shared" si="22"/>
        <v>0</v>
      </c>
      <c r="P28" s="50"/>
      <c r="Q28" s="50"/>
      <c r="R28" s="65">
        <f t="shared" si="23"/>
        <v>0</v>
      </c>
      <c r="S28" s="64"/>
      <c r="T28" s="64"/>
      <c r="U28" s="65">
        <f t="shared" si="24"/>
        <v>0</v>
      </c>
      <c r="V28" s="53">
        <f t="shared" si="25"/>
        <v>0</v>
      </c>
      <c r="W28" s="119">
        <f t="shared" si="25"/>
        <v>0</v>
      </c>
      <c r="X28" s="118">
        <f t="shared" si="26"/>
        <v>0</v>
      </c>
      <c r="Y28" s="117">
        <f t="shared" si="28"/>
        <v>0</v>
      </c>
      <c r="Z28" s="117">
        <f t="shared" si="28"/>
        <v>0</v>
      </c>
      <c r="AA28" s="118">
        <f t="shared" si="27"/>
        <v>0</v>
      </c>
      <c r="AB28" s="64"/>
      <c r="AC28" s="64"/>
      <c r="AD28" s="64"/>
      <c r="AE28" s="51">
        <f t="shared" si="3"/>
        <v>0</v>
      </c>
    </row>
    <row r="29" spans="1:31" s="54" customFormat="1" ht="26.25" customHeight="1">
      <c r="A29" s="77" t="s">
        <v>114</v>
      </c>
      <c r="B29" s="163">
        <v>9</v>
      </c>
      <c r="C29" s="163">
        <v>11</v>
      </c>
      <c r="D29" s="163">
        <v>16</v>
      </c>
      <c r="E29" s="74" t="s">
        <v>10</v>
      </c>
      <c r="F29" s="76">
        <v>4327</v>
      </c>
      <c r="G29" s="81" t="s">
        <v>117</v>
      </c>
      <c r="H29" s="62" t="s">
        <v>118</v>
      </c>
      <c r="I29" s="86"/>
      <c r="J29" s="73"/>
      <c r="K29" s="73">
        <f>619637.47</f>
        <v>619637.47</v>
      </c>
      <c r="L29" s="65">
        <f t="shared" si="21"/>
        <v>619637.47</v>
      </c>
      <c r="M29" s="64"/>
      <c r="N29" s="64">
        <f>59300</f>
        <v>59300</v>
      </c>
      <c r="O29" s="65">
        <f t="shared" si="22"/>
        <v>59300</v>
      </c>
      <c r="P29" s="73"/>
      <c r="Q29" s="73">
        <v>100000</v>
      </c>
      <c r="R29" s="65">
        <f t="shared" si="23"/>
        <v>100000</v>
      </c>
      <c r="S29" s="64"/>
      <c r="T29" s="64"/>
      <c r="U29" s="65">
        <f t="shared" si="24"/>
        <v>0</v>
      </c>
      <c r="V29" s="53">
        <f t="shared" si="25"/>
        <v>0</v>
      </c>
      <c r="W29" s="119">
        <f t="shared" si="25"/>
        <v>519637.47</v>
      </c>
      <c r="X29" s="118">
        <f t="shared" si="26"/>
        <v>519637.47</v>
      </c>
      <c r="Y29" s="117">
        <f>M29-S29</f>
        <v>0</v>
      </c>
      <c r="Z29" s="117">
        <f>N29-T29</f>
        <v>59300</v>
      </c>
      <c r="AA29" s="118">
        <f t="shared" si="27"/>
        <v>59300</v>
      </c>
      <c r="AB29" s="64">
        <v>0</v>
      </c>
      <c r="AC29" s="64">
        <f>100000</f>
        <v>100000</v>
      </c>
      <c r="AD29" s="64">
        <v>0</v>
      </c>
      <c r="AE29" s="51">
        <f>SUM(AB29:AD29)</f>
        <v>100000</v>
      </c>
    </row>
    <row r="30" spans="1:31" s="54" customFormat="1" ht="57.75" customHeight="1">
      <c r="A30" s="77" t="s">
        <v>154</v>
      </c>
      <c r="B30" s="163">
        <v>30</v>
      </c>
      <c r="C30" s="163">
        <v>12</v>
      </c>
      <c r="D30" s="163">
        <v>16</v>
      </c>
      <c r="E30" s="74" t="s">
        <v>10</v>
      </c>
      <c r="F30" s="76">
        <v>4449</v>
      </c>
      <c r="G30" s="81" t="s">
        <v>153</v>
      </c>
      <c r="H30" s="62" t="s">
        <v>152</v>
      </c>
      <c r="I30" s="86"/>
      <c r="J30" s="73"/>
      <c r="K30" s="73">
        <v>200000</v>
      </c>
      <c r="L30" s="65">
        <f t="shared" si="21"/>
        <v>200000</v>
      </c>
      <c r="M30" s="64"/>
      <c r="N30" s="64">
        <v>20000</v>
      </c>
      <c r="O30" s="65">
        <f t="shared" si="22"/>
        <v>20000</v>
      </c>
      <c r="P30" s="73"/>
      <c r="Q30" s="73"/>
      <c r="R30" s="65">
        <f t="shared" si="23"/>
        <v>0</v>
      </c>
      <c r="S30" s="64"/>
      <c r="T30" s="64"/>
      <c r="U30" s="65">
        <f t="shared" si="24"/>
        <v>0</v>
      </c>
      <c r="V30" s="53"/>
      <c r="W30" s="119"/>
      <c r="X30" s="118">
        <f t="shared" si="26"/>
        <v>0</v>
      </c>
      <c r="Y30" s="117"/>
      <c r="Z30" s="117"/>
      <c r="AA30" s="118">
        <f t="shared" si="27"/>
        <v>0</v>
      </c>
      <c r="AB30" s="64"/>
      <c r="AC30" s="64"/>
      <c r="AD30" s="64"/>
      <c r="AE30" s="51">
        <f>SUM(AB30:AD30)</f>
        <v>0</v>
      </c>
    </row>
    <row r="31" spans="1:31" s="54" customFormat="1" ht="77.25" customHeight="1" thickBot="1">
      <c r="A31" s="77" t="s">
        <v>155</v>
      </c>
      <c r="B31" s="163">
        <v>29</v>
      </c>
      <c r="C31" s="163">
        <v>12</v>
      </c>
      <c r="D31" s="163">
        <v>16</v>
      </c>
      <c r="E31" s="74" t="s">
        <v>10</v>
      </c>
      <c r="F31" s="76">
        <v>4450</v>
      </c>
      <c r="G31" s="81" t="s">
        <v>157</v>
      </c>
      <c r="H31" s="62" t="s">
        <v>156</v>
      </c>
      <c r="I31" s="86" t="s">
        <v>104</v>
      </c>
      <c r="J31" s="73"/>
      <c r="K31" s="73"/>
      <c r="L31" s="65">
        <f t="shared" si="21"/>
        <v>0</v>
      </c>
      <c r="M31" s="64"/>
      <c r="N31" s="64"/>
      <c r="O31" s="65">
        <f t="shared" si="22"/>
        <v>0</v>
      </c>
      <c r="P31" s="73"/>
      <c r="Q31" s="73"/>
      <c r="R31" s="65">
        <f t="shared" si="23"/>
        <v>0</v>
      </c>
      <c r="S31" s="64"/>
      <c r="T31" s="64"/>
      <c r="U31" s="65">
        <f t="shared" si="24"/>
        <v>0</v>
      </c>
      <c r="V31" s="53"/>
      <c r="W31" s="119"/>
      <c r="X31" s="118">
        <f t="shared" si="26"/>
        <v>0</v>
      </c>
      <c r="Y31" s="117"/>
      <c r="Z31" s="117"/>
      <c r="AA31" s="118">
        <f t="shared" si="27"/>
        <v>0</v>
      </c>
      <c r="AB31" s="64"/>
      <c r="AC31" s="64"/>
      <c r="AD31" s="64"/>
      <c r="AE31" s="51">
        <f>SUM(AB31:AD31)</f>
        <v>0</v>
      </c>
    </row>
    <row r="32" spans="1:31" ht="22.9" customHeight="1" thickBot="1">
      <c r="A32" s="34" t="s">
        <v>4</v>
      </c>
      <c r="B32" s="164"/>
      <c r="C32" s="164"/>
      <c r="D32" s="164"/>
      <c r="E32" s="11" t="s">
        <v>10</v>
      </c>
      <c r="F32" s="12"/>
      <c r="G32" s="84"/>
      <c r="H32" s="36"/>
      <c r="I32" s="30"/>
      <c r="J32" s="26">
        <f t="shared" ref="J32:O32" si="29">SUM(J24:J31)</f>
        <v>1843015.2400000002</v>
      </c>
      <c r="K32" s="26">
        <f t="shared" si="29"/>
        <v>912637.47</v>
      </c>
      <c r="L32" s="26">
        <f t="shared" si="29"/>
        <v>2755652.71</v>
      </c>
      <c r="M32" s="26">
        <f t="shared" si="29"/>
        <v>65759.350000000006</v>
      </c>
      <c r="N32" s="26">
        <f t="shared" si="29"/>
        <v>90300</v>
      </c>
      <c r="O32" s="26">
        <f t="shared" si="29"/>
        <v>156059.35</v>
      </c>
      <c r="P32" s="26">
        <f t="shared" ref="P32:U32" si="30">SUM(P24:P31)</f>
        <v>622300</v>
      </c>
      <c r="Q32" s="26">
        <f t="shared" si="30"/>
        <v>100000</v>
      </c>
      <c r="R32" s="26">
        <f t="shared" si="30"/>
        <v>722300</v>
      </c>
      <c r="S32" s="26">
        <f t="shared" si="30"/>
        <v>0</v>
      </c>
      <c r="T32" s="26">
        <f t="shared" si="30"/>
        <v>0</v>
      </c>
      <c r="U32" s="26">
        <f t="shared" si="30"/>
        <v>0</v>
      </c>
      <c r="V32" s="26">
        <f t="shared" ref="V32:AA32" si="31">SUM(V24:V31)</f>
        <v>1220715.2400000002</v>
      </c>
      <c r="W32" s="26">
        <f t="shared" si="31"/>
        <v>612637.47</v>
      </c>
      <c r="X32" s="26">
        <f t="shared" si="31"/>
        <v>1833352.7100000002</v>
      </c>
      <c r="Y32" s="26">
        <f t="shared" si="31"/>
        <v>65759.350000000006</v>
      </c>
      <c r="Z32" s="26">
        <f t="shared" si="31"/>
        <v>70300</v>
      </c>
      <c r="AA32" s="26">
        <f t="shared" si="31"/>
        <v>136059.35</v>
      </c>
      <c r="AB32" s="26">
        <f>SUM(AB24:AB31)</f>
        <v>76000</v>
      </c>
      <c r="AC32" s="26">
        <f>SUM(AC24:AC31)</f>
        <v>277799</v>
      </c>
      <c r="AD32" s="26">
        <f>SUM(AD24:AD31)</f>
        <v>292240</v>
      </c>
      <c r="AE32" s="26">
        <f>SUM(AE24:AE31)</f>
        <v>646039</v>
      </c>
    </row>
    <row r="33" spans="1:31" s="54" customFormat="1" ht="33.75" customHeight="1" thickBot="1">
      <c r="A33" s="102" t="s">
        <v>72</v>
      </c>
      <c r="B33" s="160">
        <v>23</v>
      </c>
      <c r="C33" s="160">
        <v>10</v>
      </c>
      <c r="D33" s="160">
        <v>16</v>
      </c>
      <c r="E33" s="47" t="s">
        <v>51</v>
      </c>
      <c r="F33" s="75">
        <v>4202</v>
      </c>
      <c r="G33" s="80" t="s">
        <v>95</v>
      </c>
      <c r="H33" s="48" t="s">
        <v>59</v>
      </c>
      <c r="I33" s="86" t="s">
        <v>22</v>
      </c>
      <c r="J33" s="50">
        <f>250000-250000</f>
        <v>0</v>
      </c>
      <c r="K33" s="50"/>
      <c r="L33" s="51">
        <f>SUM(J33:K33)</f>
        <v>0</v>
      </c>
      <c r="M33" s="50">
        <v>0</v>
      </c>
      <c r="N33" s="50"/>
      <c r="O33" s="51">
        <f>SUM(M33:N33)</f>
        <v>0</v>
      </c>
      <c r="P33" s="50"/>
      <c r="Q33" s="50"/>
      <c r="R33" s="51">
        <f>SUM(P33:Q33)</f>
        <v>0</v>
      </c>
      <c r="S33" s="50"/>
      <c r="T33" s="50"/>
      <c r="U33" s="51">
        <f>SUM(S33:T33)</f>
        <v>0</v>
      </c>
      <c r="V33" s="53">
        <f>J33-P33</f>
        <v>0</v>
      </c>
      <c r="W33" s="119">
        <f>K33-Q33</f>
        <v>0</v>
      </c>
      <c r="X33" s="52">
        <f>SUM(V33:W33)</f>
        <v>0</v>
      </c>
      <c r="Y33" s="117">
        <f t="shared" si="28"/>
        <v>0</v>
      </c>
      <c r="Z33" s="117">
        <f t="shared" si="28"/>
        <v>0</v>
      </c>
      <c r="AA33" s="52">
        <f>SUM(Y33:Z33)</f>
        <v>0</v>
      </c>
      <c r="AB33" s="50"/>
      <c r="AC33" s="50"/>
      <c r="AD33" s="50"/>
      <c r="AE33" s="51">
        <f t="shared" si="3"/>
        <v>0</v>
      </c>
    </row>
    <row r="34" spans="1:31" ht="22.9" customHeight="1" thickBot="1">
      <c r="A34" s="34" t="s">
        <v>4</v>
      </c>
      <c r="B34" s="164"/>
      <c r="C34" s="164"/>
      <c r="D34" s="164"/>
      <c r="E34" s="11" t="s">
        <v>51</v>
      </c>
      <c r="F34" s="12"/>
      <c r="G34" s="84"/>
      <c r="H34" s="36"/>
      <c r="I34" s="30"/>
      <c r="J34" s="26">
        <f t="shared" ref="J34:O34" si="32">SUM(J33)</f>
        <v>0</v>
      </c>
      <c r="K34" s="26">
        <f t="shared" si="32"/>
        <v>0</v>
      </c>
      <c r="L34" s="26">
        <f t="shared" si="32"/>
        <v>0</v>
      </c>
      <c r="M34" s="26">
        <f t="shared" si="32"/>
        <v>0</v>
      </c>
      <c r="N34" s="26">
        <f t="shared" si="32"/>
        <v>0</v>
      </c>
      <c r="O34" s="26">
        <f t="shared" si="32"/>
        <v>0</v>
      </c>
      <c r="P34" s="26">
        <f t="shared" ref="P34:U34" si="33">SUM(P33)</f>
        <v>0</v>
      </c>
      <c r="Q34" s="26">
        <f t="shared" si="33"/>
        <v>0</v>
      </c>
      <c r="R34" s="26">
        <f t="shared" si="33"/>
        <v>0</v>
      </c>
      <c r="S34" s="26">
        <f t="shared" si="33"/>
        <v>0</v>
      </c>
      <c r="T34" s="26">
        <f t="shared" si="33"/>
        <v>0</v>
      </c>
      <c r="U34" s="26">
        <f t="shared" si="33"/>
        <v>0</v>
      </c>
      <c r="V34" s="26">
        <f t="shared" ref="V34:AA34" si="34">SUM(V33)</f>
        <v>0</v>
      </c>
      <c r="W34" s="26">
        <f t="shared" si="34"/>
        <v>0</v>
      </c>
      <c r="X34" s="26">
        <f t="shared" si="34"/>
        <v>0</v>
      </c>
      <c r="Y34" s="26">
        <f t="shared" si="34"/>
        <v>0</v>
      </c>
      <c r="Z34" s="26">
        <f t="shared" si="34"/>
        <v>0</v>
      </c>
      <c r="AA34" s="26">
        <f t="shared" si="34"/>
        <v>0</v>
      </c>
      <c r="AB34" s="26">
        <f>SUM(AB33)</f>
        <v>0</v>
      </c>
      <c r="AC34" s="26">
        <f>SUM(AC33)</f>
        <v>0</v>
      </c>
      <c r="AD34" s="26">
        <f>SUM(AD33)</f>
        <v>0</v>
      </c>
      <c r="AE34" s="26">
        <f>SUM(AE33)</f>
        <v>0</v>
      </c>
    </row>
    <row r="35" spans="1:31" s="54" customFormat="1" ht="31.5" customHeight="1">
      <c r="A35" s="103" t="s">
        <v>46</v>
      </c>
      <c r="B35" s="172">
        <v>30</v>
      </c>
      <c r="C35" s="172">
        <v>5</v>
      </c>
      <c r="D35" s="172">
        <v>16</v>
      </c>
      <c r="E35" s="47" t="s">
        <v>6</v>
      </c>
      <c r="F35" s="79">
        <v>4134</v>
      </c>
      <c r="G35" s="83" t="s">
        <v>97</v>
      </c>
      <c r="H35" s="55" t="s">
        <v>40</v>
      </c>
      <c r="I35" s="53"/>
      <c r="J35" s="57"/>
      <c r="K35" s="56">
        <f>219364.97+8046.74</f>
        <v>227411.71</v>
      </c>
      <c r="L35" s="65">
        <f>SUM(J35:K35)</f>
        <v>227411.71</v>
      </c>
      <c r="M35" s="56">
        <f>55000</f>
        <v>55000</v>
      </c>
      <c r="N35" s="56"/>
      <c r="O35" s="65">
        <f>SUM(M35:N35)</f>
        <v>55000</v>
      </c>
      <c r="P35" s="57"/>
      <c r="Q35" s="56">
        <f>50000+50000+104000</f>
        <v>204000</v>
      </c>
      <c r="R35" s="65">
        <f>SUM(P35:Q35)</f>
        <v>204000</v>
      </c>
      <c r="S35" s="56"/>
      <c r="T35" s="56"/>
      <c r="U35" s="65">
        <f>SUM(S35:T35)</f>
        <v>0</v>
      </c>
      <c r="V35" s="53">
        <f>J35-P35</f>
        <v>0</v>
      </c>
      <c r="W35" s="119">
        <f>K35-Q35</f>
        <v>23411.709999999992</v>
      </c>
      <c r="X35" s="118">
        <f>SUM(V35:W35)</f>
        <v>23411.709999999992</v>
      </c>
      <c r="Y35" s="117">
        <f t="shared" si="28"/>
        <v>55000</v>
      </c>
      <c r="Z35" s="117">
        <f t="shared" si="28"/>
        <v>0</v>
      </c>
      <c r="AA35" s="118">
        <f>SUM(Y35:Z35)</f>
        <v>55000</v>
      </c>
      <c r="AB35" s="56">
        <v>0</v>
      </c>
      <c r="AC35" s="56"/>
      <c r="AD35" s="110">
        <f>204000</f>
        <v>204000</v>
      </c>
      <c r="AE35" s="51">
        <f t="shared" si="3"/>
        <v>204000</v>
      </c>
    </row>
    <row r="36" spans="1:31" s="54" customFormat="1" ht="33.75" customHeight="1" thickBot="1">
      <c r="A36" s="103" t="s">
        <v>126</v>
      </c>
      <c r="B36" s="160">
        <v>30</v>
      </c>
      <c r="C36" s="160">
        <v>12</v>
      </c>
      <c r="D36" s="160">
        <v>16</v>
      </c>
      <c r="E36" s="47" t="s">
        <v>6</v>
      </c>
      <c r="F36" s="79">
        <v>4363</v>
      </c>
      <c r="G36" s="83"/>
      <c r="H36" s="55" t="s">
        <v>127</v>
      </c>
      <c r="I36" s="86" t="s">
        <v>128</v>
      </c>
      <c r="J36" s="57">
        <f>661076.83-448552.5+6184.22</f>
        <v>218708.54999999996</v>
      </c>
      <c r="K36" s="56"/>
      <c r="L36" s="51">
        <f>SUM(J36:K36)</f>
        <v>218708.54999999996</v>
      </c>
      <c r="M36" s="56">
        <f>660.73</f>
        <v>660.73</v>
      </c>
      <c r="N36" s="56"/>
      <c r="O36" s="51">
        <f>SUM(M36:N36)</f>
        <v>660.73</v>
      </c>
      <c r="P36" s="57">
        <v>200000</v>
      </c>
      <c r="Q36" s="56"/>
      <c r="R36" s="51">
        <f>SUM(P36:Q36)</f>
        <v>200000</v>
      </c>
      <c r="S36" s="56">
        <v>660.73</v>
      </c>
      <c r="T36" s="56"/>
      <c r="U36" s="51">
        <f>SUM(S36:T36)</f>
        <v>660.73</v>
      </c>
      <c r="V36" s="53">
        <f>J36-P36</f>
        <v>18708.549999999959</v>
      </c>
      <c r="W36" s="119">
        <f>K36-Q36</f>
        <v>0</v>
      </c>
      <c r="X36" s="52">
        <f>SUM(V36:W36)</f>
        <v>18708.549999999959</v>
      </c>
      <c r="Y36" s="117">
        <f t="shared" si="28"/>
        <v>0</v>
      </c>
      <c r="Z36" s="117">
        <f t="shared" si="28"/>
        <v>0</v>
      </c>
      <c r="AA36" s="52">
        <f>SUM(Y36:Z36)</f>
        <v>0</v>
      </c>
      <c r="AB36" s="56">
        <f>100000-50000-50000</f>
        <v>0</v>
      </c>
      <c r="AC36" s="56">
        <f>11363.04+50000+50000</f>
        <v>111363.04000000001</v>
      </c>
      <c r="AD36" s="56">
        <f>88636.96</f>
        <v>88636.96</v>
      </c>
      <c r="AE36" s="51">
        <f t="shared" si="3"/>
        <v>200000</v>
      </c>
    </row>
    <row r="37" spans="1:31" ht="22.9" customHeight="1" thickBot="1">
      <c r="A37" s="34" t="s">
        <v>4</v>
      </c>
      <c r="B37" s="164"/>
      <c r="C37" s="164"/>
      <c r="D37" s="164"/>
      <c r="E37" s="11" t="s">
        <v>6</v>
      </c>
      <c r="F37" s="13"/>
      <c r="G37" s="85"/>
      <c r="H37" s="37"/>
      <c r="I37" s="30"/>
      <c r="J37" s="12">
        <f t="shared" ref="J37:AE37" si="35">SUM(J35:J36)</f>
        <v>218708.54999999996</v>
      </c>
      <c r="K37" s="12">
        <f t="shared" si="35"/>
        <v>227411.71</v>
      </c>
      <c r="L37" s="12">
        <f t="shared" si="35"/>
        <v>446120.25999999995</v>
      </c>
      <c r="M37" s="12">
        <f t="shared" si="35"/>
        <v>55660.73</v>
      </c>
      <c r="N37" s="12">
        <f t="shared" si="35"/>
        <v>0</v>
      </c>
      <c r="O37" s="12">
        <f t="shared" si="35"/>
        <v>55660.73</v>
      </c>
      <c r="P37" s="12">
        <f t="shared" si="35"/>
        <v>200000</v>
      </c>
      <c r="Q37" s="12">
        <f t="shared" si="35"/>
        <v>204000</v>
      </c>
      <c r="R37" s="12">
        <f t="shared" si="35"/>
        <v>404000</v>
      </c>
      <c r="S37" s="12">
        <f t="shared" si="35"/>
        <v>660.73</v>
      </c>
      <c r="T37" s="12">
        <f t="shared" si="35"/>
        <v>0</v>
      </c>
      <c r="U37" s="12">
        <f t="shared" si="35"/>
        <v>660.73</v>
      </c>
      <c r="V37" s="26">
        <f t="shared" si="35"/>
        <v>18708.549999999959</v>
      </c>
      <c r="W37" s="26">
        <f t="shared" si="35"/>
        <v>23411.709999999992</v>
      </c>
      <c r="X37" s="26">
        <f t="shared" si="35"/>
        <v>42120.259999999951</v>
      </c>
      <c r="Y37" s="26">
        <f t="shared" si="35"/>
        <v>55000</v>
      </c>
      <c r="Z37" s="26">
        <f t="shared" si="35"/>
        <v>0</v>
      </c>
      <c r="AA37" s="26">
        <f t="shared" si="35"/>
        <v>55000</v>
      </c>
      <c r="AB37" s="12">
        <f t="shared" si="35"/>
        <v>0</v>
      </c>
      <c r="AC37" s="12">
        <f t="shared" si="35"/>
        <v>111363.04000000001</v>
      </c>
      <c r="AD37" s="12">
        <f t="shared" si="35"/>
        <v>292636.96000000002</v>
      </c>
      <c r="AE37" s="12">
        <f t="shared" si="35"/>
        <v>404000</v>
      </c>
    </row>
    <row r="38" spans="1:31" s="54" customFormat="1" ht="33.75" customHeight="1" thickBot="1">
      <c r="A38" s="104" t="s">
        <v>35</v>
      </c>
      <c r="B38" s="173">
        <v>31</v>
      </c>
      <c r="C38" s="173">
        <v>12</v>
      </c>
      <c r="D38" s="173">
        <v>15</v>
      </c>
      <c r="E38" s="91" t="s">
        <v>8</v>
      </c>
      <c r="F38" s="92">
        <v>3777</v>
      </c>
      <c r="G38" s="93" t="s">
        <v>98</v>
      </c>
      <c r="H38" s="94" t="s">
        <v>28</v>
      </c>
      <c r="I38" s="95"/>
      <c r="J38" s="126">
        <f>2763.61</f>
        <v>2763.61</v>
      </c>
      <c r="K38" s="49"/>
      <c r="L38" s="51">
        <f>SUM(J38:K38)</f>
        <v>2763.61</v>
      </c>
      <c r="M38" s="68">
        <v>0</v>
      </c>
      <c r="N38" s="49"/>
      <c r="O38" s="51">
        <f>SUM(M38:N38)</f>
        <v>0</v>
      </c>
      <c r="P38" s="68">
        <v>2210</v>
      </c>
      <c r="Q38" s="49"/>
      <c r="R38" s="51">
        <f>SUM(P38:Q38)</f>
        <v>2210</v>
      </c>
      <c r="S38" s="68">
        <v>0</v>
      </c>
      <c r="T38" s="49"/>
      <c r="U38" s="51">
        <f>SUM(S38:T38)</f>
        <v>0</v>
      </c>
      <c r="V38" s="119"/>
      <c r="W38" s="119">
        <f>K38-Q38</f>
        <v>0</v>
      </c>
      <c r="X38" s="52">
        <f>SUM(V38:W38)</f>
        <v>0</v>
      </c>
      <c r="Y38" s="117">
        <f t="shared" si="28"/>
        <v>0</v>
      </c>
      <c r="Z38" s="117">
        <f t="shared" si="28"/>
        <v>0</v>
      </c>
      <c r="AA38" s="52">
        <f>SUM(Y38:Z38)</f>
        <v>0</v>
      </c>
      <c r="AB38" s="68">
        <v>0</v>
      </c>
      <c r="AC38" s="49">
        <v>2210</v>
      </c>
      <c r="AD38" s="49">
        <v>0</v>
      </c>
      <c r="AE38" s="51">
        <f t="shared" si="3"/>
        <v>2210</v>
      </c>
    </row>
    <row r="39" spans="1:31" ht="22.9" customHeight="1" thickBot="1">
      <c r="A39" s="42" t="s">
        <v>4</v>
      </c>
      <c r="B39" s="164"/>
      <c r="C39" s="164"/>
      <c r="D39" s="164"/>
      <c r="E39" s="11" t="s">
        <v>8</v>
      </c>
      <c r="F39" s="12"/>
      <c r="G39" s="84"/>
      <c r="H39" s="36"/>
      <c r="I39" s="30"/>
      <c r="J39" s="12">
        <f t="shared" ref="J39:O39" si="36">SUM(J38:J38)</f>
        <v>2763.61</v>
      </c>
      <c r="K39" s="12">
        <f t="shared" si="36"/>
        <v>0</v>
      </c>
      <c r="L39" s="12">
        <f t="shared" si="36"/>
        <v>2763.61</v>
      </c>
      <c r="M39" s="12">
        <f t="shared" si="36"/>
        <v>0</v>
      </c>
      <c r="N39" s="12">
        <f t="shared" si="36"/>
        <v>0</v>
      </c>
      <c r="O39" s="12">
        <f t="shared" si="36"/>
        <v>0</v>
      </c>
      <c r="P39" s="12">
        <f t="shared" ref="P39:U39" si="37">SUM(P38:P38)</f>
        <v>2210</v>
      </c>
      <c r="Q39" s="12">
        <f t="shared" si="37"/>
        <v>0</v>
      </c>
      <c r="R39" s="12">
        <f t="shared" si="37"/>
        <v>2210</v>
      </c>
      <c r="S39" s="12">
        <f t="shared" si="37"/>
        <v>0</v>
      </c>
      <c r="T39" s="12">
        <f t="shared" si="37"/>
        <v>0</v>
      </c>
      <c r="U39" s="12">
        <f t="shared" si="37"/>
        <v>0</v>
      </c>
      <c r="V39" s="26">
        <f t="shared" ref="V39:AA39" si="38">SUM(V38:V38)</f>
        <v>0</v>
      </c>
      <c r="W39" s="26">
        <f t="shared" si="38"/>
        <v>0</v>
      </c>
      <c r="X39" s="26">
        <f t="shared" si="38"/>
        <v>0</v>
      </c>
      <c r="Y39" s="26">
        <f t="shared" si="38"/>
        <v>0</v>
      </c>
      <c r="Z39" s="26">
        <f t="shared" si="38"/>
        <v>0</v>
      </c>
      <c r="AA39" s="26">
        <f t="shared" si="38"/>
        <v>0</v>
      </c>
      <c r="AB39" s="12">
        <f>SUM(AB38:AB38)</f>
        <v>0</v>
      </c>
      <c r="AC39" s="12">
        <f>SUM(AC38:AC38)</f>
        <v>2210</v>
      </c>
      <c r="AD39" s="12">
        <f>SUM(AD38)</f>
        <v>0</v>
      </c>
      <c r="AE39" s="12">
        <f>SUM(AE38:AE38)</f>
        <v>2210</v>
      </c>
    </row>
    <row r="40" spans="1:31" s="54" customFormat="1" ht="127.5" customHeight="1">
      <c r="A40" s="102" t="s">
        <v>30</v>
      </c>
      <c r="B40" s="160">
        <v>15</v>
      </c>
      <c r="C40" s="160">
        <v>10</v>
      </c>
      <c r="D40" s="160">
        <v>16</v>
      </c>
      <c r="E40" s="47" t="s">
        <v>15</v>
      </c>
      <c r="F40" s="75">
        <f>3964</f>
        <v>3964</v>
      </c>
      <c r="G40" s="80" t="s">
        <v>99</v>
      </c>
      <c r="H40" s="48" t="s">
        <v>29</v>
      </c>
      <c r="I40" s="53"/>
      <c r="J40" s="125">
        <f>922916.81</f>
        <v>922916.81</v>
      </c>
      <c r="K40" s="50"/>
      <c r="L40" s="51">
        <f>SUM(J40:K40)</f>
        <v>922916.81</v>
      </c>
      <c r="M40" s="50">
        <f>15439</f>
        <v>15439</v>
      </c>
      <c r="N40" s="50"/>
      <c r="O40" s="51">
        <f>SUM(M40:N40)</f>
        <v>15439</v>
      </c>
      <c r="P40" s="50">
        <f>5000+500000</f>
        <v>505000</v>
      </c>
      <c r="Q40" s="50"/>
      <c r="R40" s="51">
        <f>SUM(P40:Q40)</f>
        <v>505000</v>
      </c>
      <c r="S40" s="50"/>
      <c r="T40" s="50"/>
      <c r="U40" s="51">
        <f>SUM(S40:T40)</f>
        <v>0</v>
      </c>
      <c r="V40" s="53">
        <f t="shared" ref="V40:W44" si="39">J40-P40</f>
        <v>417916.81000000006</v>
      </c>
      <c r="W40" s="119">
        <f t="shared" si="39"/>
        <v>0</v>
      </c>
      <c r="X40" s="52">
        <f>SUM(V40:W40)</f>
        <v>417916.81000000006</v>
      </c>
      <c r="Y40" s="117">
        <f t="shared" si="28"/>
        <v>15439</v>
      </c>
      <c r="Z40" s="117">
        <f t="shared" si="28"/>
        <v>0</v>
      </c>
      <c r="AA40" s="52">
        <f>SUM(Y40:Z40)</f>
        <v>15439</v>
      </c>
      <c r="AB40" s="50">
        <f>253000</f>
        <v>253000</v>
      </c>
      <c r="AC40" s="50">
        <f>108701.44</f>
        <v>108701.44</v>
      </c>
      <c r="AD40" s="50">
        <f>143298.56</f>
        <v>143298.56</v>
      </c>
      <c r="AE40" s="51">
        <f t="shared" si="3"/>
        <v>505000</v>
      </c>
    </row>
    <row r="41" spans="1:31" s="54" customFormat="1" ht="63.75" customHeight="1">
      <c r="A41" s="77" t="s">
        <v>38</v>
      </c>
      <c r="B41" s="163">
        <v>21</v>
      </c>
      <c r="C41" s="163">
        <v>12</v>
      </c>
      <c r="D41" s="163">
        <v>16</v>
      </c>
      <c r="E41" s="61" t="s">
        <v>15</v>
      </c>
      <c r="F41" s="76">
        <v>4003</v>
      </c>
      <c r="G41" s="81" t="s">
        <v>100</v>
      </c>
      <c r="H41" s="62" t="s">
        <v>37</v>
      </c>
      <c r="I41" s="53"/>
      <c r="J41" s="73">
        <f>629164.72</f>
        <v>629164.72</v>
      </c>
      <c r="K41" s="64"/>
      <c r="L41" s="65">
        <f>SUM(J41:K41)</f>
        <v>629164.72</v>
      </c>
      <c r="M41" s="64">
        <f>5681.37</f>
        <v>5681.37</v>
      </c>
      <c r="N41" s="64"/>
      <c r="O41" s="65">
        <f>SUM(M41:N41)</f>
        <v>5681.37</v>
      </c>
      <c r="P41" s="64">
        <f>300000+460</f>
        <v>300460</v>
      </c>
      <c r="Q41" s="64"/>
      <c r="R41" s="65">
        <f>SUM(P41:Q41)</f>
        <v>300460</v>
      </c>
      <c r="S41" s="64"/>
      <c r="T41" s="64"/>
      <c r="U41" s="65">
        <f>SUM(S41:T41)</f>
        <v>0</v>
      </c>
      <c r="V41" s="53">
        <f t="shared" si="39"/>
        <v>328704.71999999997</v>
      </c>
      <c r="W41" s="119">
        <f t="shared" si="39"/>
        <v>0</v>
      </c>
      <c r="X41" s="118">
        <f>SUM(V41:W41)</f>
        <v>328704.71999999997</v>
      </c>
      <c r="Y41" s="117">
        <f t="shared" si="28"/>
        <v>5681.37</v>
      </c>
      <c r="Z41" s="117">
        <f t="shared" si="28"/>
        <v>0</v>
      </c>
      <c r="AA41" s="118">
        <f>SUM(Y41:Z41)</f>
        <v>5681.37</v>
      </c>
      <c r="AB41" s="64">
        <f>150000</f>
        <v>150000</v>
      </c>
      <c r="AC41" s="64">
        <f>128659.96</f>
        <v>128659.96</v>
      </c>
      <c r="AD41" s="64">
        <f>21340.04+460</f>
        <v>21800.04</v>
      </c>
      <c r="AE41" s="51">
        <f t="shared" si="3"/>
        <v>300460</v>
      </c>
    </row>
    <row r="42" spans="1:31" s="54" customFormat="1" ht="89.25" customHeight="1">
      <c r="A42" s="77" t="s">
        <v>52</v>
      </c>
      <c r="B42" s="162">
        <v>31</v>
      </c>
      <c r="C42" s="162">
        <v>12</v>
      </c>
      <c r="D42" s="162">
        <v>16</v>
      </c>
      <c r="E42" s="61" t="s">
        <v>15</v>
      </c>
      <c r="F42" s="76">
        <v>4166</v>
      </c>
      <c r="G42" s="81" t="s">
        <v>101</v>
      </c>
      <c r="H42" s="62" t="s">
        <v>62</v>
      </c>
      <c r="I42" s="53"/>
      <c r="J42" s="64">
        <f>82178.88+3264.34</f>
        <v>85443.22</v>
      </c>
      <c r="K42" s="64"/>
      <c r="L42" s="65">
        <f>SUM(J42:K42)</f>
        <v>85443.22</v>
      </c>
      <c r="M42" s="64">
        <f>1200</f>
        <v>1200</v>
      </c>
      <c r="N42" s="64"/>
      <c r="O42" s="65">
        <f>SUM(M42:N42)</f>
        <v>1200</v>
      </c>
      <c r="P42" s="64">
        <v>80000</v>
      </c>
      <c r="Q42" s="64"/>
      <c r="R42" s="65">
        <f>SUM(P42:Q42)</f>
        <v>80000</v>
      </c>
      <c r="S42" s="64">
        <v>1200</v>
      </c>
      <c r="T42" s="64"/>
      <c r="U42" s="65">
        <f>SUM(S42:T42)</f>
        <v>1200</v>
      </c>
      <c r="V42" s="53">
        <f t="shared" si="39"/>
        <v>5443.2200000000012</v>
      </c>
      <c r="W42" s="119">
        <f t="shared" si="39"/>
        <v>0</v>
      </c>
      <c r="X42" s="118">
        <f>SUM(V42:W42)</f>
        <v>5443.2200000000012</v>
      </c>
      <c r="Y42" s="117">
        <f t="shared" si="28"/>
        <v>0</v>
      </c>
      <c r="Z42" s="117">
        <f t="shared" si="28"/>
        <v>0</v>
      </c>
      <c r="AA42" s="118">
        <f>SUM(Y42:Z42)</f>
        <v>0</v>
      </c>
      <c r="AB42" s="64">
        <f>30000</f>
        <v>30000</v>
      </c>
      <c r="AC42" s="64">
        <f>27853.67</f>
        <v>27853.67</v>
      </c>
      <c r="AD42" s="64">
        <f>22146.33</f>
        <v>22146.33</v>
      </c>
      <c r="AE42" s="51">
        <f t="shared" si="3"/>
        <v>80000</v>
      </c>
    </row>
    <row r="43" spans="1:31" s="54" customFormat="1" ht="76.5" customHeight="1">
      <c r="A43" s="77" t="s">
        <v>73</v>
      </c>
      <c r="B43" s="163">
        <v>29</v>
      </c>
      <c r="C43" s="163">
        <v>7</v>
      </c>
      <c r="D43" s="163">
        <v>16</v>
      </c>
      <c r="E43" s="61" t="s">
        <v>15</v>
      </c>
      <c r="F43" s="76">
        <v>4255</v>
      </c>
      <c r="G43" s="81" t="s">
        <v>102</v>
      </c>
      <c r="H43" s="62" t="s">
        <v>75</v>
      </c>
      <c r="I43" s="66"/>
      <c r="J43" s="64">
        <f>1745153.72</f>
        <v>1745153.72</v>
      </c>
      <c r="K43" s="64"/>
      <c r="L43" s="65">
        <f>SUM(J43:K43)</f>
        <v>1745153.72</v>
      </c>
      <c r="M43" s="64">
        <f>22600</f>
        <v>22600</v>
      </c>
      <c r="N43" s="64"/>
      <c r="O43" s="51">
        <f>SUM(M43:N43)</f>
        <v>22600</v>
      </c>
      <c r="P43" s="64">
        <v>300000</v>
      </c>
      <c r="Q43" s="64"/>
      <c r="R43" s="65">
        <f>SUM(P43:Q43)</f>
        <v>300000</v>
      </c>
      <c r="S43" s="64"/>
      <c r="T43" s="64"/>
      <c r="U43" s="51">
        <f>SUM(S43:T43)</f>
        <v>0</v>
      </c>
      <c r="V43" s="53">
        <f t="shared" si="39"/>
        <v>1445153.72</v>
      </c>
      <c r="W43" s="119">
        <f t="shared" si="39"/>
        <v>0</v>
      </c>
      <c r="X43" s="118">
        <f>SUM(V43:W43)</f>
        <v>1445153.72</v>
      </c>
      <c r="Y43" s="117">
        <f>M43-S43</f>
        <v>22600</v>
      </c>
      <c r="Z43" s="117">
        <f>N43-T43</f>
        <v>0</v>
      </c>
      <c r="AA43" s="52">
        <f>SUM(Y43:Z43)</f>
        <v>22600</v>
      </c>
      <c r="AB43" s="64">
        <f>150000</f>
        <v>150000</v>
      </c>
      <c r="AC43" s="64">
        <f>150000</f>
        <v>150000</v>
      </c>
      <c r="AD43" s="64"/>
      <c r="AE43" s="51">
        <f t="shared" si="3"/>
        <v>300000</v>
      </c>
    </row>
    <row r="44" spans="1:31" s="54" customFormat="1" ht="77.25" customHeight="1" thickBot="1">
      <c r="A44" s="77" t="s">
        <v>74</v>
      </c>
      <c r="B44" s="163">
        <v>29</v>
      </c>
      <c r="C44" s="163">
        <v>7</v>
      </c>
      <c r="D44" s="163">
        <v>16</v>
      </c>
      <c r="E44" s="61" t="s">
        <v>15</v>
      </c>
      <c r="F44" s="76">
        <v>4256</v>
      </c>
      <c r="G44" s="81" t="s">
        <v>103</v>
      </c>
      <c r="H44" s="62" t="s">
        <v>75</v>
      </c>
      <c r="I44" s="86" t="s">
        <v>115</v>
      </c>
      <c r="J44" s="64">
        <f>880612.27-16450</f>
        <v>864162.27</v>
      </c>
      <c r="K44" s="64"/>
      <c r="L44" s="65">
        <f>SUM(J44:K44)</f>
        <v>864162.27</v>
      </c>
      <c r="M44" s="64"/>
      <c r="N44" s="64">
        <f>16450</f>
        <v>16450</v>
      </c>
      <c r="O44" s="51">
        <f>SUM(M44:N44)</f>
        <v>16450</v>
      </c>
      <c r="P44" s="64">
        <v>300000</v>
      </c>
      <c r="Q44" s="64"/>
      <c r="R44" s="65">
        <f>SUM(P44:Q44)</f>
        <v>300000</v>
      </c>
      <c r="S44" s="64"/>
      <c r="T44" s="64"/>
      <c r="U44" s="51">
        <f>SUM(S44:T44)</f>
        <v>0</v>
      </c>
      <c r="V44" s="53">
        <f t="shared" si="39"/>
        <v>564162.27</v>
      </c>
      <c r="W44" s="119">
        <f t="shared" si="39"/>
        <v>0</v>
      </c>
      <c r="X44" s="118">
        <f>SUM(V44:W44)</f>
        <v>564162.27</v>
      </c>
      <c r="Y44" s="117">
        <f>M44-S44</f>
        <v>0</v>
      </c>
      <c r="Z44" s="117">
        <f>N44-T44</f>
        <v>16450</v>
      </c>
      <c r="AA44" s="52">
        <f>SUM(Y44:Z44)</f>
        <v>16450</v>
      </c>
      <c r="AB44" s="64">
        <f>150000</f>
        <v>150000</v>
      </c>
      <c r="AC44" s="64">
        <f>88272</f>
        <v>88272</v>
      </c>
      <c r="AD44" s="64">
        <f>61728</f>
        <v>61728</v>
      </c>
      <c r="AE44" s="51">
        <f t="shared" si="3"/>
        <v>300000</v>
      </c>
    </row>
    <row r="45" spans="1:31" ht="22.9" customHeight="1">
      <c r="A45" s="43" t="s">
        <v>4</v>
      </c>
      <c r="B45" s="15"/>
      <c r="C45" s="15"/>
      <c r="D45" s="15"/>
      <c r="E45" s="14" t="s">
        <v>15</v>
      </c>
      <c r="F45" s="16"/>
      <c r="G45" s="16"/>
      <c r="H45" s="38"/>
      <c r="I45" s="31"/>
      <c r="J45" s="17">
        <f t="shared" ref="J45:O45" si="40">SUM(J40:J44)</f>
        <v>4246840.74</v>
      </c>
      <c r="K45" s="17">
        <f t="shared" si="40"/>
        <v>0</v>
      </c>
      <c r="L45" s="17">
        <f t="shared" si="40"/>
        <v>4246840.74</v>
      </c>
      <c r="M45" s="17">
        <f t="shared" si="40"/>
        <v>44920.369999999995</v>
      </c>
      <c r="N45" s="17">
        <f t="shared" si="40"/>
        <v>16450</v>
      </c>
      <c r="O45" s="17">
        <f t="shared" si="40"/>
        <v>61370.369999999995</v>
      </c>
      <c r="P45" s="17">
        <f t="shared" ref="P45:U45" si="41">SUM(P40:P44)</f>
        <v>1485460</v>
      </c>
      <c r="Q45" s="17">
        <f t="shared" si="41"/>
        <v>0</v>
      </c>
      <c r="R45" s="17">
        <f t="shared" si="41"/>
        <v>1485460</v>
      </c>
      <c r="S45" s="17">
        <f t="shared" si="41"/>
        <v>1200</v>
      </c>
      <c r="T45" s="17">
        <f t="shared" si="41"/>
        <v>0</v>
      </c>
      <c r="U45" s="17">
        <f t="shared" si="41"/>
        <v>1200</v>
      </c>
      <c r="V45" s="120">
        <f t="shared" ref="V45:AA45" si="42">SUM(V40:V44)</f>
        <v>2761380.7399999998</v>
      </c>
      <c r="W45" s="120">
        <f t="shared" si="42"/>
        <v>0</v>
      </c>
      <c r="X45" s="120">
        <f t="shared" si="42"/>
        <v>2761380.7399999998</v>
      </c>
      <c r="Y45" s="120">
        <f t="shared" si="42"/>
        <v>43720.369999999995</v>
      </c>
      <c r="Z45" s="120">
        <f t="shared" si="42"/>
        <v>16450</v>
      </c>
      <c r="AA45" s="120">
        <f t="shared" si="42"/>
        <v>60170.369999999995</v>
      </c>
      <c r="AB45" s="17">
        <f>SUM(AB40:AB44)</f>
        <v>733000</v>
      </c>
      <c r="AC45" s="17">
        <f>SUM(AC40:AC44)</f>
        <v>503487.07</v>
      </c>
      <c r="AD45" s="17">
        <f>SUM(AD40:AD44)</f>
        <v>248972.93</v>
      </c>
      <c r="AE45" s="17">
        <f>SUM(AE40:AE44)</f>
        <v>1485460</v>
      </c>
    </row>
    <row r="46" spans="1:31" ht="22.9" customHeight="1" thickBot="1">
      <c r="A46" s="44" t="s">
        <v>4</v>
      </c>
      <c r="B46" s="23"/>
      <c r="C46" s="23"/>
      <c r="D46" s="23"/>
      <c r="E46" s="22" t="s">
        <v>17</v>
      </c>
      <c r="F46" s="24"/>
      <c r="G46" s="24"/>
      <c r="H46" s="39"/>
      <c r="I46" s="32"/>
      <c r="J46" s="25">
        <f t="shared" ref="J46:AE46" si="43">J11+J14+J23+J32+J37+J39+J45+J34</f>
        <v>6311328.1400000006</v>
      </c>
      <c r="K46" s="25">
        <f t="shared" si="43"/>
        <v>9170853.2200000007</v>
      </c>
      <c r="L46" s="25">
        <f t="shared" si="43"/>
        <v>15482181.359999999</v>
      </c>
      <c r="M46" s="25">
        <f t="shared" si="43"/>
        <v>250993.22</v>
      </c>
      <c r="N46" s="25">
        <f t="shared" si="43"/>
        <v>580491.85</v>
      </c>
      <c r="O46" s="25">
        <f t="shared" si="43"/>
        <v>831485.07</v>
      </c>
      <c r="P46" s="25">
        <f t="shared" si="43"/>
        <v>2797553.4</v>
      </c>
      <c r="Q46" s="25">
        <f t="shared" si="43"/>
        <v>7127159.5999999996</v>
      </c>
      <c r="R46" s="25">
        <f t="shared" si="43"/>
        <v>9924713</v>
      </c>
      <c r="S46" s="25">
        <f t="shared" si="43"/>
        <v>30260.73</v>
      </c>
      <c r="T46" s="25">
        <f t="shared" si="43"/>
        <v>6135.83</v>
      </c>
      <c r="U46" s="25">
        <f t="shared" si="43"/>
        <v>36396.560000000005</v>
      </c>
      <c r="V46" s="121" t="e">
        <f t="shared" si="43"/>
        <v>#VALUE!</v>
      </c>
      <c r="W46" s="121">
        <f t="shared" si="43"/>
        <v>1843693.6199999999</v>
      </c>
      <c r="X46" s="121" t="e">
        <f t="shared" si="43"/>
        <v>#VALUE!</v>
      </c>
      <c r="Y46" s="121">
        <f t="shared" si="43"/>
        <v>220732.49</v>
      </c>
      <c r="Z46" s="121">
        <f t="shared" si="43"/>
        <v>554356.02</v>
      </c>
      <c r="AA46" s="121">
        <f t="shared" si="43"/>
        <v>775088.51</v>
      </c>
      <c r="AB46" s="25">
        <f t="shared" si="43"/>
        <v>1230206.1499999999</v>
      </c>
      <c r="AC46" s="25">
        <f t="shared" si="43"/>
        <v>3914133.34</v>
      </c>
      <c r="AD46" s="25">
        <f t="shared" si="43"/>
        <v>1804529.1099999999</v>
      </c>
      <c r="AE46" s="25">
        <f t="shared" si="43"/>
        <v>6948868.5999999996</v>
      </c>
    </row>
    <row r="47" spans="1:31" ht="22.9" customHeight="1" thickBot="1">
      <c r="A47" s="45" t="s">
        <v>4</v>
      </c>
      <c r="B47" s="19"/>
      <c r="C47" s="19"/>
      <c r="D47" s="19"/>
      <c r="E47" s="18" t="s">
        <v>18</v>
      </c>
      <c r="F47" s="20"/>
      <c r="G47" s="20"/>
      <c r="H47" s="40"/>
      <c r="I47" s="33"/>
      <c r="J47" s="21">
        <f t="shared" ref="J47:AE47" si="44">J11+J23+J37+J39+J45+J34</f>
        <v>4468312.9000000004</v>
      </c>
      <c r="K47" s="21">
        <f t="shared" si="44"/>
        <v>7737628.5999999996</v>
      </c>
      <c r="L47" s="21">
        <f t="shared" si="44"/>
        <v>12205941.5</v>
      </c>
      <c r="M47" s="21">
        <f t="shared" si="44"/>
        <v>185233.87</v>
      </c>
      <c r="N47" s="21">
        <f t="shared" si="44"/>
        <v>434191.85</v>
      </c>
      <c r="O47" s="21">
        <f t="shared" si="44"/>
        <v>619425.72</v>
      </c>
      <c r="P47" s="21">
        <f t="shared" si="44"/>
        <v>2175253.4</v>
      </c>
      <c r="Q47" s="21">
        <f t="shared" si="44"/>
        <v>7027159.5999999996</v>
      </c>
      <c r="R47" s="21">
        <f t="shared" si="44"/>
        <v>9202413</v>
      </c>
      <c r="S47" s="21">
        <f t="shared" si="44"/>
        <v>30260.73</v>
      </c>
      <c r="T47" s="21">
        <f t="shared" si="44"/>
        <v>6135.83</v>
      </c>
      <c r="U47" s="21">
        <f t="shared" si="44"/>
        <v>36396.560000000005</v>
      </c>
      <c r="V47" s="122" t="e">
        <f t="shared" si="44"/>
        <v>#VALUE!</v>
      </c>
      <c r="W47" s="122">
        <f t="shared" si="44"/>
        <v>710468.99999999988</v>
      </c>
      <c r="X47" s="122" t="e">
        <f t="shared" si="44"/>
        <v>#VALUE!</v>
      </c>
      <c r="Y47" s="122">
        <f t="shared" si="44"/>
        <v>154973.14000000001</v>
      </c>
      <c r="Z47" s="122">
        <f t="shared" si="44"/>
        <v>428056.01999999996</v>
      </c>
      <c r="AA47" s="122">
        <f t="shared" si="44"/>
        <v>583029.16</v>
      </c>
      <c r="AB47" s="21">
        <f t="shared" si="44"/>
        <v>1154206.1499999999</v>
      </c>
      <c r="AC47" s="21">
        <f t="shared" si="44"/>
        <v>3636334.34</v>
      </c>
      <c r="AD47" s="21">
        <f t="shared" si="44"/>
        <v>1512289.1099999999</v>
      </c>
      <c r="AE47" s="21">
        <f t="shared" si="44"/>
        <v>6302829.5999999996</v>
      </c>
    </row>
    <row r="48" spans="1:31" ht="22.9" customHeight="1" thickBot="1">
      <c r="A48" s="45" t="s">
        <v>4</v>
      </c>
      <c r="B48" s="19"/>
      <c r="C48" s="19"/>
      <c r="D48" s="19"/>
      <c r="E48" s="18" t="s">
        <v>19</v>
      </c>
      <c r="F48" s="20"/>
      <c r="G48" s="20"/>
      <c r="H48" s="40"/>
      <c r="I48" s="33"/>
      <c r="J48" s="21">
        <f t="shared" ref="J48:O48" si="45">J32+J14</f>
        <v>1843015.2400000002</v>
      </c>
      <c r="K48" s="21">
        <f t="shared" si="45"/>
        <v>1433224.6199999999</v>
      </c>
      <c r="L48" s="21">
        <f t="shared" si="45"/>
        <v>3276239.86</v>
      </c>
      <c r="M48" s="21">
        <f t="shared" si="45"/>
        <v>65759.350000000006</v>
      </c>
      <c r="N48" s="21">
        <f t="shared" si="45"/>
        <v>146300</v>
      </c>
      <c r="O48" s="21">
        <f t="shared" si="45"/>
        <v>212059.35</v>
      </c>
      <c r="P48" s="21">
        <f t="shared" ref="P48:U48" si="46">P32+P14</f>
        <v>622300</v>
      </c>
      <c r="Q48" s="21">
        <f t="shared" si="46"/>
        <v>100000</v>
      </c>
      <c r="R48" s="21">
        <f t="shared" si="46"/>
        <v>722300</v>
      </c>
      <c r="S48" s="21">
        <f t="shared" si="46"/>
        <v>0</v>
      </c>
      <c r="T48" s="21">
        <f t="shared" si="46"/>
        <v>0</v>
      </c>
      <c r="U48" s="21">
        <f t="shared" si="46"/>
        <v>0</v>
      </c>
      <c r="V48" s="122">
        <f t="shared" ref="V48:AA48" si="47">V32+V14</f>
        <v>1220715.2400000002</v>
      </c>
      <c r="W48" s="122">
        <f t="shared" si="47"/>
        <v>1133224.6199999999</v>
      </c>
      <c r="X48" s="122">
        <f t="shared" si="47"/>
        <v>2353939.8600000003</v>
      </c>
      <c r="Y48" s="122">
        <f t="shared" si="47"/>
        <v>65759.350000000006</v>
      </c>
      <c r="Z48" s="122">
        <f t="shared" si="47"/>
        <v>126300</v>
      </c>
      <c r="AA48" s="122">
        <f t="shared" si="47"/>
        <v>192059.35</v>
      </c>
      <c r="AB48" s="21">
        <f>AB32+AB14</f>
        <v>76000</v>
      </c>
      <c r="AC48" s="21">
        <f>AC32+AC14</f>
        <v>277799</v>
      </c>
      <c r="AD48" s="21">
        <f>AD32+AD14</f>
        <v>292240</v>
      </c>
      <c r="AE48" s="21">
        <f>AE32+AE14</f>
        <v>646039</v>
      </c>
    </row>
    <row r="49" spans="1:31" ht="19.5" customHeight="1">
      <c r="A49" s="334" t="s">
        <v>158</v>
      </c>
      <c r="B49" s="334"/>
      <c r="C49" s="334"/>
      <c r="D49" s="334"/>
      <c r="E49" s="334"/>
      <c r="F49" s="334"/>
      <c r="G49" s="334"/>
      <c r="H49" s="334"/>
      <c r="M49" s="331" t="s">
        <v>131</v>
      </c>
      <c r="N49" s="331"/>
      <c r="O49" s="331"/>
      <c r="S49" s="331"/>
      <c r="T49" s="331"/>
      <c r="U49" s="331"/>
      <c r="Y49" s="344"/>
      <c r="Z49" s="344"/>
      <c r="AA49" s="344"/>
      <c r="AB49" s="331" t="s">
        <v>139</v>
      </c>
      <c r="AC49" s="331"/>
      <c r="AD49" s="331"/>
      <c r="AE49" s="331"/>
    </row>
    <row r="50" spans="1:31" ht="18.75" customHeight="1">
      <c r="A50" s="289" t="s">
        <v>130</v>
      </c>
      <c r="B50" s="289"/>
      <c r="C50" s="289"/>
      <c r="D50" s="289"/>
      <c r="E50" s="289"/>
      <c r="F50" s="289"/>
      <c r="G50" s="289"/>
      <c r="H50" s="289"/>
      <c r="J50" s="112"/>
      <c r="K50" s="112"/>
      <c r="L50" s="112"/>
      <c r="M50" s="112"/>
      <c r="N50" s="112"/>
      <c r="O50" s="112"/>
    </row>
    <row r="51" spans="1:31" ht="19.5" customHeight="1">
      <c r="A51" s="290" t="s">
        <v>132</v>
      </c>
      <c r="B51" s="290"/>
      <c r="C51" s="290"/>
      <c r="D51" s="290"/>
      <c r="E51" s="290"/>
      <c r="F51" s="290"/>
      <c r="G51" s="290"/>
      <c r="H51" s="290"/>
      <c r="J51" s="112"/>
      <c r="K51" s="112"/>
      <c r="L51" s="112"/>
      <c r="M51" s="112"/>
      <c r="N51" s="112"/>
      <c r="O51" s="112"/>
    </row>
    <row r="52" spans="1:31">
      <c r="J52" s="27"/>
      <c r="K52" s="112"/>
      <c r="P52" s="27"/>
    </row>
    <row r="53" spans="1:31">
      <c r="K53" s="27"/>
    </row>
    <row r="55" spans="1:31">
      <c r="K55" s="27"/>
      <c r="L55" s="112"/>
    </row>
    <row r="56" spans="1:31">
      <c r="K56" s="27"/>
    </row>
    <row r="57" spans="1:31">
      <c r="J57" s="27"/>
      <c r="K57" s="27"/>
    </row>
    <row r="58" spans="1:31">
      <c r="J58" s="27"/>
      <c r="K58" s="27"/>
    </row>
    <row r="59" spans="1:31">
      <c r="J59" s="27"/>
      <c r="K59" s="27"/>
    </row>
    <row r="60" spans="1:31">
      <c r="J60" s="27"/>
      <c r="K60" s="27"/>
    </row>
    <row r="61" spans="1:31">
      <c r="J61" s="27"/>
      <c r="K61" s="27"/>
      <c r="P61" s="27"/>
    </row>
    <row r="62" spans="1:31">
      <c r="K62" s="27"/>
    </row>
    <row r="63" spans="1:31">
      <c r="K63" s="27"/>
    </row>
    <row r="64" spans="1:31">
      <c r="AC64" s="112"/>
    </row>
    <row r="66" spans="12:12">
      <c r="L66" s="112"/>
    </row>
    <row r="68" spans="12:12">
      <c r="L68" s="112"/>
    </row>
  </sheetData>
  <autoFilter ref="A5:O51"/>
  <mergeCells count="27">
    <mergeCell ref="M49:O49"/>
    <mergeCell ref="A50:H50"/>
    <mergeCell ref="A1:K1"/>
    <mergeCell ref="A2:O2"/>
    <mergeCell ref="A3:A5"/>
    <mergeCell ref="B3:D4"/>
    <mergeCell ref="E3:E5"/>
    <mergeCell ref="F3:F5"/>
    <mergeCell ref="G3:G5"/>
    <mergeCell ref="H3:H5"/>
    <mergeCell ref="I3:I5"/>
    <mergeCell ref="AB4:AE4"/>
    <mergeCell ref="AB49:AE49"/>
    <mergeCell ref="AB3:AE3"/>
    <mergeCell ref="A51:H51"/>
    <mergeCell ref="P3:U3"/>
    <mergeCell ref="P4:R4"/>
    <mergeCell ref="S4:U4"/>
    <mergeCell ref="S49:U49"/>
    <mergeCell ref="V3:AA3"/>
    <mergeCell ref="V4:X4"/>
    <mergeCell ref="Y4:AA4"/>
    <mergeCell ref="Y49:AA49"/>
    <mergeCell ref="J3:O3"/>
    <mergeCell ref="J4:L4"/>
    <mergeCell ref="M4:O4"/>
    <mergeCell ref="A49:H49"/>
  </mergeCells>
  <pageMargins left="0.39370078740157483" right="0.62992125984251968" top="0.23622047244094491" bottom="0.23622047244094491" header="0" footer="0"/>
  <pageSetup paperSize="9" scale="29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="70" zoomScaleNormal="70" workbookViewId="0">
      <pane xSplit="9" ySplit="5" topLeftCell="J6" activePane="bottomRight" state="frozen"/>
      <selection pane="topRight" activeCell="I1" sqref="I1"/>
      <selection pane="bottomLeft" activeCell="A6" sqref="A6"/>
      <selection pane="bottomRight" activeCell="A6" sqref="A6"/>
    </sheetView>
  </sheetViews>
  <sheetFormatPr defaultRowHeight="19.5"/>
  <cols>
    <col min="1" max="1" width="19.42578125" style="46" customWidth="1"/>
    <col min="2" max="2" width="4.42578125" style="7" customWidth="1"/>
    <col min="3" max="3" width="3.85546875" style="7" customWidth="1"/>
    <col min="4" max="4" width="4.5703125" style="7" customWidth="1"/>
    <col min="5" max="5" width="8.42578125" style="5" customWidth="1"/>
    <col min="6" max="6" width="10.85546875" style="6" customWidth="1"/>
    <col min="7" max="7" width="12.28515625" style="6" customWidth="1"/>
    <col min="8" max="8" width="25.28515625" style="41" customWidth="1"/>
    <col min="9" max="9" width="25.7109375" style="27" customWidth="1"/>
    <col min="10" max="11" width="16.5703125" style="2" customWidth="1"/>
    <col min="12" max="12" width="16.5703125" style="2" bestFit="1" customWidth="1"/>
    <col min="13" max="13" width="13.140625" style="2" customWidth="1"/>
    <col min="14" max="14" width="15.140625" style="2" customWidth="1"/>
    <col min="15" max="15" width="15.140625" style="2" bestFit="1" customWidth="1"/>
    <col min="16" max="17" width="16.5703125" style="2" customWidth="1"/>
    <col min="18" max="18" width="16.5703125" style="2" bestFit="1" customWidth="1"/>
    <col min="19" max="19" width="13.140625" style="2" customWidth="1"/>
    <col min="20" max="20" width="15.140625" style="2" customWidth="1"/>
    <col min="21" max="21" width="15.140625" style="2" bestFit="1" customWidth="1"/>
  </cols>
  <sheetData>
    <row r="1" spans="1:21" s="29" customFormat="1" ht="20.25">
      <c r="A1" s="299" t="s">
        <v>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8"/>
      <c r="M1" s="28"/>
      <c r="N1" s="28"/>
      <c r="O1" s="28"/>
      <c r="P1" s="69"/>
      <c r="Q1" s="69"/>
      <c r="R1" s="28"/>
      <c r="S1" s="28"/>
      <c r="T1" s="28"/>
      <c r="U1" s="28"/>
    </row>
    <row r="2" spans="1:21" s="3" customFormat="1" ht="27" thickBot="1">
      <c r="A2" s="300" t="s">
        <v>124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70"/>
      <c r="Q2" s="70"/>
      <c r="R2" s="70"/>
      <c r="S2" s="70"/>
      <c r="T2" s="70"/>
      <c r="U2" s="70"/>
    </row>
    <row r="3" spans="1:21" s="1" customFormat="1" ht="21" customHeight="1" thickBot="1">
      <c r="A3" s="301" t="s">
        <v>36</v>
      </c>
      <c r="B3" s="320" t="s">
        <v>119</v>
      </c>
      <c r="C3" s="320"/>
      <c r="D3" s="320"/>
      <c r="E3" s="304" t="s">
        <v>0</v>
      </c>
      <c r="F3" s="307" t="s">
        <v>20</v>
      </c>
      <c r="G3" s="335" t="s">
        <v>77</v>
      </c>
      <c r="H3" s="307" t="s">
        <v>24</v>
      </c>
      <c r="I3" s="307" t="s">
        <v>21</v>
      </c>
      <c r="J3" s="314" t="s">
        <v>140</v>
      </c>
      <c r="K3" s="315"/>
      <c r="L3" s="315"/>
      <c r="M3" s="315"/>
      <c r="N3" s="315"/>
      <c r="O3" s="316"/>
      <c r="P3" s="314" t="s">
        <v>133</v>
      </c>
      <c r="Q3" s="315"/>
      <c r="R3" s="315"/>
      <c r="S3" s="315"/>
      <c r="T3" s="315"/>
      <c r="U3" s="316"/>
    </row>
    <row r="4" spans="1:21" s="1" customFormat="1" ht="16.5" customHeight="1" thickBot="1">
      <c r="A4" s="302"/>
      <c r="B4" s="320"/>
      <c r="C4" s="320"/>
      <c r="D4" s="320"/>
      <c r="E4" s="305"/>
      <c r="F4" s="308"/>
      <c r="G4" s="336"/>
      <c r="H4" s="308"/>
      <c r="I4" s="308"/>
      <c r="J4" s="314" t="s">
        <v>16</v>
      </c>
      <c r="K4" s="315"/>
      <c r="L4" s="316"/>
      <c r="M4" s="314" t="s">
        <v>14</v>
      </c>
      <c r="N4" s="315"/>
      <c r="O4" s="316"/>
      <c r="P4" s="314" t="s">
        <v>16</v>
      </c>
      <c r="Q4" s="315"/>
      <c r="R4" s="316"/>
      <c r="S4" s="314" t="s">
        <v>14</v>
      </c>
      <c r="T4" s="315"/>
      <c r="U4" s="316"/>
    </row>
    <row r="5" spans="1:21" s="1" customFormat="1" ht="32.25" thickBot="1">
      <c r="A5" s="303"/>
      <c r="B5" s="101" t="s">
        <v>11</v>
      </c>
      <c r="C5" s="101" t="s">
        <v>12</v>
      </c>
      <c r="D5" s="101" t="s">
        <v>13</v>
      </c>
      <c r="E5" s="306"/>
      <c r="F5" s="309"/>
      <c r="G5" s="337"/>
      <c r="H5" s="309"/>
      <c r="I5" s="309"/>
      <c r="J5" s="4" t="s">
        <v>1</v>
      </c>
      <c r="K5" s="4" t="s">
        <v>2</v>
      </c>
      <c r="L5" s="4" t="s">
        <v>4</v>
      </c>
      <c r="M5" s="4" t="s">
        <v>1</v>
      </c>
      <c r="N5" s="4" t="s">
        <v>2</v>
      </c>
      <c r="O5" s="4" t="s">
        <v>4</v>
      </c>
      <c r="P5" s="4" t="s">
        <v>1</v>
      </c>
      <c r="Q5" s="4" t="s">
        <v>2</v>
      </c>
      <c r="R5" s="4" t="s">
        <v>4</v>
      </c>
      <c r="S5" s="4" t="s">
        <v>1</v>
      </c>
      <c r="T5" s="4" t="s">
        <v>2</v>
      </c>
      <c r="U5" s="4" t="s">
        <v>4</v>
      </c>
    </row>
    <row r="6" spans="1:21" s="54" customFormat="1" ht="31.5" customHeight="1">
      <c r="A6" s="103" t="s">
        <v>44</v>
      </c>
      <c r="B6" s="78">
        <v>31</v>
      </c>
      <c r="C6" s="78">
        <v>12</v>
      </c>
      <c r="D6" s="78">
        <v>15</v>
      </c>
      <c r="E6" s="47" t="s">
        <v>6</v>
      </c>
      <c r="F6" s="79">
        <v>4035</v>
      </c>
      <c r="G6" s="83" t="s">
        <v>96</v>
      </c>
      <c r="H6" s="55" t="s">
        <v>40</v>
      </c>
      <c r="I6" s="53" t="s">
        <v>148</v>
      </c>
      <c r="J6" s="57"/>
      <c r="K6" s="127">
        <f>88604.61</f>
        <v>88604.61</v>
      </c>
      <c r="L6" s="51">
        <f>SUM(J6:K6)</f>
        <v>88604.61</v>
      </c>
      <c r="M6" s="56">
        <f>50000</f>
        <v>50000</v>
      </c>
      <c r="N6" s="56"/>
      <c r="O6" s="51">
        <f>SUM(M6:N6)</f>
        <v>50000</v>
      </c>
      <c r="P6" s="57"/>
      <c r="Q6" s="56">
        <v>50000</v>
      </c>
      <c r="R6" s="51">
        <f>SUM(P6:Q6)</f>
        <v>50000</v>
      </c>
      <c r="S6" s="56"/>
      <c r="T6" s="56"/>
      <c r="U6" s="51">
        <f>SUM(S6:T6)</f>
        <v>0</v>
      </c>
    </row>
  </sheetData>
  <autoFilter ref="A5:O6"/>
  <mergeCells count="15">
    <mergeCell ref="A1:K1"/>
    <mergeCell ref="A2:O2"/>
    <mergeCell ref="A3:A5"/>
    <mergeCell ref="B3:D4"/>
    <mergeCell ref="E3:E5"/>
    <mergeCell ref="F3:F5"/>
    <mergeCell ref="G3:G5"/>
    <mergeCell ref="H3:H5"/>
    <mergeCell ref="I3:I5"/>
    <mergeCell ref="J3:O3"/>
    <mergeCell ref="P3:U3"/>
    <mergeCell ref="J4:L4"/>
    <mergeCell ref="M4:O4"/>
    <mergeCell ref="P4:R4"/>
    <mergeCell ref="S4:U4"/>
  </mergeCells>
  <pageMargins left="0.39370078740157483" right="0.62992125984251968" top="0.23622047244094491" bottom="0.23622047244094491" header="0" footer="0"/>
  <pageSetup paperSize="9" scale="29" fitToHeight="1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zoomScale="70" zoomScaleNormal="70" workbookViewId="0">
      <pane xSplit="9" ySplit="1" topLeftCell="J2" activePane="bottomRight" state="frozen"/>
      <selection pane="topRight" activeCell="I1" sqref="I1"/>
      <selection pane="bottomLeft" activeCell="A6" sqref="A6"/>
      <selection pane="bottomRight" activeCell="C6" sqref="C6"/>
    </sheetView>
  </sheetViews>
  <sheetFormatPr defaultRowHeight="19.5"/>
  <cols>
    <col min="1" max="1" width="11.5703125" style="46" customWidth="1"/>
    <col min="2" max="4" width="16.140625" style="7" bestFit="1" customWidth="1"/>
    <col min="5" max="5" width="14.7109375" style="5" bestFit="1" customWidth="1"/>
    <col min="6" max="6" width="14.7109375" style="6" bestFit="1" customWidth="1"/>
    <col min="7" max="7" width="16.140625" style="6" bestFit="1" customWidth="1"/>
    <col min="8" max="8" width="17.42578125" style="41" bestFit="1" customWidth="1"/>
    <col min="9" max="9" width="17.42578125" style="27" bestFit="1" customWidth="1"/>
    <col min="10" max="10" width="17.42578125" style="2" bestFit="1" customWidth="1"/>
    <col min="11" max="11" width="11.42578125" style="2" bestFit="1" customWidth="1"/>
    <col min="12" max="12" width="7" style="2" bestFit="1" customWidth="1"/>
    <col min="13" max="13" width="13.140625" style="2" customWidth="1"/>
    <col min="14" max="14" width="15.140625" style="2" customWidth="1"/>
    <col min="15" max="15" width="15.140625" style="2" bestFit="1" customWidth="1"/>
    <col min="16" max="17" width="16.5703125" style="2" customWidth="1"/>
    <col min="18" max="18" width="16.5703125" style="2" bestFit="1" customWidth="1"/>
    <col min="19" max="19" width="13.140625" style="2" customWidth="1"/>
    <col min="20" max="20" width="15.140625" style="2" customWidth="1"/>
    <col min="21" max="21" width="15.140625" style="2" bestFit="1" customWidth="1"/>
    <col min="22" max="23" width="16.5703125" style="27" customWidth="1"/>
    <col min="24" max="24" width="16.7109375" style="27" bestFit="1" customWidth="1"/>
    <col min="25" max="25" width="13.140625" style="27" customWidth="1"/>
    <col min="26" max="26" width="15.140625" style="27" customWidth="1"/>
    <col min="27" max="27" width="15.42578125" style="27" bestFit="1" customWidth="1"/>
    <col min="28" max="28" width="13.140625" style="2" customWidth="1"/>
    <col min="29" max="30" width="15.140625" style="2" customWidth="1"/>
    <col min="31" max="31" width="15.140625" style="2" bestFit="1" customWidth="1"/>
  </cols>
  <sheetData>
    <row r="1" spans="1:32" s="29" customFormat="1" ht="20.25">
      <c r="A1" s="299" t="s">
        <v>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8"/>
      <c r="M1" s="28"/>
      <c r="N1" s="28"/>
      <c r="O1" s="28"/>
      <c r="P1" s="69"/>
      <c r="Q1" s="69"/>
      <c r="R1" s="28"/>
      <c r="S1" s="28"/>
      <c r="T1" s="28"/>
      <c r="U1" s="28"/>
      <c r="V1" s="113"/>
      <c r="W1" s="113"/>
      <c r="X1" s="114"/>
      <c r="Y1" s="114"/>
      <c r="Z1" s="114"/>
      <c r="AA1" s="114"/>
      <c r="AB1" s="28"/>
      <c r="AC1" s="28"/>
      <c r="AD1" s="28"/>
      <c r="AE1" s="28"/>
    </row>
    <row r="2" spans="1:32" ht="27" thickBot="1">
      <c r="A2" s="300" t="s">
        <v>147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32" ht="16.5" thickBot="1">
      <c r="A3" s="304" t="s">
        <v>0</v>
      </c>
      <c r="B3" s="314" t="s">
        <v>142</v>
      </c>
      <c r="C3" s="315"/>
      <c r="D3" s="315"/>
      <c r="E3" s="314" t="s">
        <v>143</v>
      </c>
      <c r="F3" s="315"/>
      <c r="G3" s="315"/>
      <c r="H3" s="341" t="s">
        <v>144</v>
      </c>
      <c r="I3" s="342"/>
      <c r="J3" s="343"/>
    </row>
    <row r="4" spans="1:32" ht="16.5" thickBot="1">
      <c r="A4" s="305"/>
      <c r="B4" s="314" t="s">
        <v>16</v>
      </c>
      <c r="C4" s="315"/>
      <c r="D4" s="316"/>
      <c r="E4" s="314" t="s">
        <v>16</v>
      </c>
      <c r="F4" s="315"/>
      <c r="G4" s="316"/>
      <c r="H4" s="341" t="s">
        <v>16</v>
      </c>
      <c r="I4" s="342"/>
      <c r="J4" s="343"/>
    </row>
    <row r="5" spans="1:32" ht="16.5" thickBot="1">
      <c r="A5" s="306"/>
      <c r="B5" s="4" t="s">
        <v>1</v>
      </c>
      <c r="C5" s="4" t="s">
        <v>2</v>
      </c>
      <c r="D5" s="4" t="s">
        <v>4</v>
      </c>
      <c r="E5" s="4" t="s">
        <v>1</v>
      </c>
      <c r="F5" s="4" t="s">
        <v>2</v>
      </c>
      <c r="G5" s="4" t="s">
        <v>4</v>
      </c>
      <c r="H5" s="116" t="s">
        <v>1</v>
      </c>
      <c r="I5" s="116" t="s">
        <v>2</v>
      </c>
      <c r="J5" s="116" t="s">
        <v>4</v>
      </c>
      <c r="K5" s="6"/>
      <c r="L5" s="6"/>
    </row>
    <row r="6" spans="1:32" ht="16.5">
      <c r="A6" s="129" t="s">
        <v>5</v>
      </c>
      <c r="B6" s="68">
        <f>SUM('Em execução (PF)'!V11)</f>
        <v>0</v>
      </c>
      <c r="C6" s="68">
        <f>SUM('Em execução (PF)'!W11)</f>
        <v>343956.12999999989</v>
      </c>
      <c r="D6" s="51">
        <f>SUM(B6:C6)</f>
        <v>343956.12999999989</v>
      </c>
      <c r="E6" s="130"/>
      <c r="F6" s="68">
        <f>609000</f>
        <v>609000</v>
      </c>
      <c r="G6" s="51">
        <f>SUM(E6:F6)</f>
        <v>609000</v>
      </c>
      <c r="H6" s="131">
        <f t="shared" ref="H6:I15" si="0">SUM(E6-B6)</f>
        <v>0</v>
      </c>
      <c r="I6" s="131">
        <f t="shared" si="0"/>
        <v>265043.87000000011</v>
      </c>
      <c r="J6" s="52">
        <f>SUM(H6:I6)</f>
        <v>265043.87000000011</v>
      </c>
      <c r="K6" s="141"/>
      <c r="L6" s="141"/>
    </row>
    <row r="7" spans="1:32" s="2" customFormat="1" ht="16.5">
      <c r="A7" s="132" t="s">
        <v>9</v>
      </c>
      <c r="B7" s="59">
        <f>SUM('Em execução (PF)'!V14)</f>
        <v>0</v>
      </c>
      <c r="C7" s="59">
        <f>SUM('Em execução (PF)'!W14)</f>
        <v>520587.14999999997</v>
      </c>
      <c r="D7" s="51">
        <f>SUM(B7:C7)</f>
        <v>520587.14999999997</v>
      </c>
      <c r="E7" s="133"/>
      <c r="F7" s="59">
        <f>510500</f>
        <v>510500</v>
      </c>
      <c r="G7" s="51">
        <f>SUM(E7:F7)</f>
        <v>510500</v>
      </c>
      <c r="H7" s="131">
        <f t="shared" si="0"/>
        <v>0</v>
      </c>
      <c r="I7" s="131">
        <f t="shared" si="0"/>
        <v>-10087.149999999965</v>
      </c>
      <c r="J7" s="52">
        <f>SUM(H7:I7)</f>
        <v>-10087.149999999965</v>
      </c>
      <c r="K7" s="141"/>
      <c r="L7" s="141"/>
      <c r="P7" s="27"/>
      <c r="V7" s="27"/>
      <c r="W7" s="27"/>
      <c r="X7" s="27"/>
      <c r="Y7" s="27"/>
      <c r="Z7" s="27"/>
      <c r="AA7" s="27"/>
      <c r="AF7"/>
    </row>
    <row r="8" spans="1:32" ht="16.5">
      <c r="A8" s="132" t="s">
        <v>7</v>
      </c>
      <c r="B8" s="133" t="e">
        <f>SUM('Em execução (PF)'!V23)</f>
        <v>#VALUE!</v>
      </c>
      <c r="C8" s="133">
        <f>SUM('Em execução (PF)'!W23)</f>
        <v>343101.16000000003</v>
      </c>
      <c r="D8" s="51" t="e">
        <f t="shared" ref="D8:D15" si="1">SUM(B8:C8)</f>
        <v>#VALUE!</v>
      </c>
      <c r="E8" s="59"/>
      <c r="F8" s="59">
        <f>39006.44</f>
        <v>39006.44</v>
      </c>
      <c r="G8" s="51">
        <f t="shared" ref="G8:G15" si="2">SUM(E8:F8)</f>
        <v>39006.44</v>
      </c>
      <c r="H8" s="131" t="e">
        <f t="shared" si="0"/>
        <v>#VALUE!</v>
      </c>
      <c r="I8" s="131">
        <f t="shared" si="0"/>
        <v>-304094.72000000003</v>
      </c>
      <c r="J8" s="52" t="e">
        <f t="shared" ref="J8:J15" si="3">SUM(H8:I8)</f>
        <v>#VALUE!</v>
      </c>
      <c r="K8" s="141"/>
      <c r="L8" s="141"/>
    </row>
    <row r="9" spans="1:32" ht="16.5">
      <c r="A9" s="132" t="s">
        <v>10</v>
      </c>
      <c r="B9" s="133">
        <f>SUM('Em execução (PF)'!V32)</f>
        <v>1220715.2400000002</v>
      </c>
      <c r="C9" s="133">
        <f>SUM('Em execução (PF)'!W32)</f>
        <v>612637.47</v>
      </c>
      <c r="D9" s="51">
        <f t="shared" si="1"/>
        <v>1833352.7100000002</v>
      </c>
      <c r="E9" s="59">
        <f>1399700</f>
        <v>1399700</v>
      </c>
      <c r="F9" s="59">
        <f>595000</f>
        <v>595000</v>
      </c>
      <c r="G9" s="51">
        <f t="shared" si="2"/>
        <v>1994700</v>
      </c>
      <c r="H9" s="131">
        <f t="shared" si="0"/>
        <v>178984.75999999978</v>
      </c>
      <c r="I9" s="131">
        <f t="shared" si="0"/>
        <v>-17637.469999999972</v>
      </c>
      <c r="J9" s="52">
        <f t="shared" si="3"/>
        <v>161347.2899999998</v>
      </c>
      <c r="K9" s="141"/>
      <c r="L9" s="141"/>
    </row>
    <row r="10" spans="1:32" ht="16.5">
      <c r="A10" s="132" t="s">
        <v>51</v>
      </c>
      <c r="B10" s="133">
        <f>SUM('Em execução (PF)'!V34)</f>
        <v>0</v>
      </c>
      <c r="C10" s="133">
        <f>SUM('Em execução (PF)'!W34)</f>
        <v>0</v>
      </c>
      <c r="D10" s="51">
        <f t="shared" si="1"/>
        <v>0</v>
      </c>
      <c r="E10" s="133"/>
      <c r="F10" s="59"/>
      <c r="G10" s="51">
        <f t="shared" si="2"/>
        <v>0</v>
      </c>
      <c r="H10" s="131">
        <f t="shared" si="0"/>
        <v>0</v>
      </c>
      <c r="I10" s="131">
        <f t="shared" si="0"/>
        <v>0</v>
      </c>
      <c r="J10" s="52">
        <f t="shared" si="3"/>
        <v>0</v>
      </c>
      <c r="K10" s="141"/>
      <c r="L10" s="141"/>
    </row>
    <row r="11" spans="1:32" ht="16.5">
      <c r="A11" s="132" t="s">
        <v>145</v>
      </c>
      <c r="B11" s="133"/>
      <c r="C11" s="133"/>
      <c r="D11" s="51">
        <f t="shared" si="1"/>
        <v>0</v>
      </c>
      <c r="E11" s="133"/>
      <c r="F11" s="59"/>
      <c r="G11" s="51">
        <f t="shared" si="2"/>
        <v>0</v>
      </c>
      <c r="H11" s="131">
        <f t="shared" si="0"/>
        <v>0</v>
      </c>
      <c r="I11" s="131">
        <f>SUM(F11-C11)</f>
        <v>0</v>
      </c>
      <c r="J11" s="52">
        <f>SUM(H11:I11)</f>
        <v>0</v>
      </c>
      <c r="K11" s="141"/>
      <c r="L11" s="141"/>
    </row>
    <row r="12" spans="1:32" ht="16.5">
      <c r="A12" s="132" t="s">
        <v>6</v>
      </c>
      <c r="B12" s="133">
        <f>SUM('Em execução (PF)'!V37)</f>
        <v>18708.549999999959</v>
      </c>
      <c r="C12" s="133">
        <f>SUM('Em execução (PF)'!W37)</f>
        <v>23411.709999999992</v>
      </c>
      <c r="D12" s="51">
        <f t="shared" si="1"/>
        <v>42120.259999999951</v>
      </c>
      <c r="E12" s="133">
        <f>50000</f>
        <v>50000</v>
      </c>
      <c r="F12" s="59">
        <f>254000</f>
        <v>254000</v>
      </c>
      <c r="G12" s="51">
        <f t="shared" si="2"/>
        <v>304000</v>
      </c>
      <c r="H12" s="131">
        <f t="shared" si="0"/>
        <v>31291.450000000041</v>
      </c>
      <c r="I12" s="131">
        <f t="shared" si="0"/>
        <v>230588.29</v>
      </c>
      <c r="J12" s="52">
        <f t="shared" si="3"/>
        <v>261879.74000000005</v>
      </c>
      <c r="K12" s="141"/>
      <c r="L12" s="141"/>
    </row>
    <row r="13" spans="1:32" ht="16.5">
      <c r="A13" s="132" t="s">
        <v>146</v>
      </c>
      <c r="B13" s="133"/>
      <c r="C13" s="133"/>
      <c r="D13" s="51">
        <f t="shared" si="1"/>
        <v>0</v>
      </c>
      <c r="E13" s="133"/>
      <c r="F13" s="59"/>
      <c r="G13" s="51">
        <f t="shared" si="2"/>
        <v>0</v>
      </c>
      <c r="H13" s="131">
        <f t="shared" si="0"/>
        <v>0</v>
      </c>
      <c r="I13" s="131">
        <f t="shared" si="0"/>
        <v>0</v>
      </c>
      <c r="J13" s="52">
        <f t="shared" si="3"/>
        <v>0</v>
      </c>
      <c r="K13" s="141"/>
      <c r="L13" s="141"/>
    </row>
    <row r="14" spans="1:32" ht="16.5">
      <c r="A14" s="132" t="s">
        <v>8</v>
      </c>
      <c r="B14" s="133">
        <f>SUM('Em execução (PF)'!V39)</f>
        <v>0</v>
      </c>
      <c r="C14" s="133">
        <f>SUM('Em execução (PF)'!W39)</f>
        <v>0</v>
      </c>
      <c r="D14" s="51">
        <f t="shared" si="1"/>
        <v>0</v>
      </c>
      <c r="E14" s="133">
        <f>541790</f>
        <v>541790</v>
      </c>
      <c r="F14" s="59"/>
      <c r="G14" s="51">
        <f t="shared" si="2"/>
        <v>541790</v>
      </c>
      <c r="H14" s="131">
        <f t="shared" si="0"/>
        <v>541790</v>
      </c>
      <c r="I14" s="131">
        <f t="shared" si="0"/>
        <v>0</v>
      </c>
      <c r="J14" s="52">
        <f t="shared" si="3"/>
        <v>541790</v>
      </c>
      <c r="K14" s="141"/>
      <c r="L14" s="141"/>
    </row>
    <row r="15" spans="1:32" ht="17.25" thickBot="1">
      <c r="A15" s="74" t="s">
        <v>15</v>
      </c>
      <c r="B15" s="134">
        <f>SUM('Em execução (PF)'!V45)</f>
        <v>2761380.7399999998</v>
      </c>
      <c r="C15" s="134">
        <f>SUM('Em execução (PF)'!W45)</f>
        <v>0</v>
      </c>
      <c r="D15" s="65">
        <f t="shared" si="1"/>
        <v>2761380.7399999998</v>
      </c>
      <c r="E15" s="135">
        <f>3050540</f>
        <v>3050540</v>
      </c>
      <c r="F15" s="135">
        <f>700000</f>
        <v>700000</v>
      </c>
      <c r="G15" s="65">
        <f t="shared" si="2"/>
        <v>3750540</v>
      </c>
      <c r="H15" s="131">
        <f t="shared" si="0"/>
        <v>289159.26000000024</v>
      </c>
      <c r="I15" s="131">
        <f t="shared" si="0"/>
        <v>700000</v>
      </c>
      <c r="J15" s="118">
        <f t="shared" si="3"/>
        <v>989159.26000000024</v>
      </c>
      <c r="K15" s="141"/>
      <c r="L15" s="141"/>
    </row>
    <row r="16" spans="1:32" ht="17.25" thickBot="1">
      <c r="A16" s="136" t="s">
        <v>17</v>
      </c>
      <c r="B16" s="137" t="e">
        <f>SUM(B6:B15)</f>
        <v>#VALUE!</v>
      </c>
      <c r="C16" s="137">
        <f t="shared" ref="C16:J16" si="4">SUM(C6:C15)</f>
        <v>1843693.6199999999</v>
      </c>
      <c r="D16" s="137" t="e">
        <f t="shared" si="4"/>
        <v>#VALUE!</v>
      </c>
      <c r="E16" s="137">
        <f t="shared" si="4"/>
        <v>5042030</v>
      </c>
      <c r="F16" s="137">
        <f t="shared" si="4"/>
        <v>2707506.44</v>
      </c>
      <c r="G16" s="137">
        <f t="shared" si="4"/>
        <v>7749536.4399999995</v>
      </c>
      <c r="H16" s="138" t="e">
        <f t="shared" si="4"/>
        <v>#VALUE!</v>
      </c>
      <c r="I16" s="138">
        <f t="shared" si="4"/>
        <v>863812.82000000018</v>
      </c>
      <c r="J16" s="138" t="e">
        <f t="shared" si="4"/>
        <v>#VALUE!</v>
      </c>
      <c r="K16" s="141"/>
      <c r="L16" s="141"/>
    </row>
    <row r="17" spans="1:12" ht="17.25" thickBot="1">
      <c r="A17" s="136" t="s">
        <v>18</v>
      </c>
      <c r="B17" s="137" t="e">
        <f>B16-B18</f>
        <v>#VALUE!</v>
      </c>
      <c r="C17" s="137">
        <f t="shared" ref="C17:J17" si="5">C16-C18</f>
        <v>710469</v>
      </c>
      <c r="D17" s="137" t="e">
        <f t="shared" si="5"/>
        <v>#VALUE!</v>
      </c>
      <c r="E17" s="137">
        <f t="shared" si="5"/>
        <v>3642330</v>
      </c>
      <c r="F17" s="137">
        <f t="shared" si="5"/>
        <v>1602006.44</v>
      </c>
      <c r="G17" s="137">
        <f t="shared" si="5"/>
        <v>5244336.4399999995</v>
      </c>
      <c r="H17" s="138" t="e">
        <f t="shared" si="5"/>
        <v>#VALUE!</v>
      </c>
      <c r="I17" s="138">
        <f t="shared" si="5"/>
        <v>891537.44000000018</v>
      </c>
      <c r="J17" s="138" t="e">
        <f t="shared" si="5"/>
        <v>#VALUE!</v>
      </c>
      <c r="K17" s="6"/>
      <c r="L17" s="6"/>
    </row>
    <row r="18" spans="1:12" ht="17.25" thickBot="1">
      <c r="A18" s="136" t="s">
        <v>19</v>
      </c>
      <c r="B18" s="137">
        <f>SUM(B7+B9)</f>
        <v>1220715.2400000002</v>
      </c>
      <c r="C18" s="137">
        <f t="shared" ref="C18:J18" si="6">SUM(C7+C9)</f>
        <v>1133224.6199999999</v>
      </c>
      <c r="D18" s="137">
        <f t="shared" si="6"/>
        <v>2353939.8600000003</v>
      </c>
      <c r="E18" s="137">
        <f t="shared" si="6"/>
        <v>1399700</v>
      </c>
      <c r="F18" s="137">
        <f t="shared" si="6"/>
        <v>1105500</v>
      </c>
      <c r="G18" s="137">
        <f t="shared" si="6"/>
        <v>2505200</v>
      </c>
      <c r="H18" s="138">
        <f t="shared" si="6"/>
        <v>178984.75999999978</v>
      </c>
      <c r="I18" s="138">
        <f t="shared" si="6"/>
        <v>-27724.619999999937</v>
      </c>
      <c r="J18" s="138">
        <f t="shared" si="6"/>
        <v>151260.13999999984</v>
      </c>
    </row>
    <row r="19" spans="1:12" thickBot="1">
      <c r="B19" s="2"/>
      <c r="C19" s="112"/>
      <c r="D19" s="112"/>
      <c r="E19" s="2"/>
      <c r="F19" s="2"/>
      <c r="G19" s="2"/>
      <c r="H19" s="27"/>
      <c r="J19" s="27"/>
    </row>
    <row r="20" spans="1:12" ht="16.5" thickBot="1">
      <c r="A20" s="304" t="s">
        <v>0</v>
      </c>
      <c r="B20" s="314">
        <v>2016</v>
      </c>
      <c r="C20" s="315"/>
      <c r="D20" s="315"/>
      <c r="E20" s="314">
        <v>2017</v>
      </c>
      <c r="F20" s="315"/>
      <c r="G20" s="315"/>
      <c r="H20" s="2"/>
      <c r="I20" s="2"/>
    </row>
    <row r="21" spans="1:12" ht="16.5" thickBot="1">
      <c r="A21" s="305"/>
      <c r="B21" s="314" t="s">
        <v>14</v>
      </c>
      <c r="C21" s="315"/>
      <c r="D21" s="316"/>
      <c r="E21" s="314" t="s">
        <v>14</v>
      </c>
      <c r="F21" s="315"/>
      <c r="G21" s="316"/>
      <c r="H21" s="2"/>
      <c r="I21" s="2"/>
    </row>
    <row r="22" spans="1:12" ht="16.5" thickBot="1">
      <c r="A22" s="306"/>
      <c r="B22" s="4" t="s">
        <v>1</v>
      </c>
      <c r="C22" s="4" t="s">
        <v>2</v>
      </c>
      <c r="D22" s="4" t="s">
        <v>4</v>
      </c>
      <c r="E22" s="4" t="s">
        <v>1</v>
      </c>
      <c r="F22" s="4" t="s">
        <v>2</v>
      </c>
      <c r="G22" s="4" t="s">
        <v>4</v>
      </c>
      <c r="H22" s="2"/>
      <c r="I22" s="2"/>
    </row>
    <row r="23" spans="1:12" ht="16.5">
      <c r="A23" s="129" t="s">
        <v>5</v>
      </c>
      <c r="B23" s="50">
        <f>SUM(CONTRAPARTIDA!M11)</f>
        <v>0</v>
      </c>
      <c r="C23" s="50">
        <f>SUM(CONTRAPARTIDA!N11)</f>
        <v>44524.06</v>
      </c>
      <c r="D23" s="139">
        <f>SUM(B23:C23)</f>
        <v>44524.06</v>
      </c>
      <c r="E23" s="49">
        <f>SUM(CONTRAPARTIDA!P11)</f>
        <v>0</v>
      </c>
      <c r="F23" s="49">
        <f>SUM(CONTRAPARTIDA!Q11)</f>
        <v>44130.48</v>
      </c>
      <c r="G23" s="139">
        <f>SUM(E23:F23)</f>
        <v>44130.48</v>
      </c>
      <c r="H23" s="2"/>
      <c r="I23" s="2"/>
    </row>
    <row r="24" spans="1:12" ht="16.5">
      <c r="A24" s="132" t="s">
        <v>9</v>
      </c>
      <c r="B24" s="57"/>
      <c r="C24" s="57"/>
      <c r="D24" s="139">
        <f>SUM(B24:C24)</f>
        <v>0</v>
      </c>
      <c r="E24" s="49"/>
      <c r="F24" s="49"/>
      <c r="G24" s="139">
        <f>SUM(E24:F24)</f>
        <v>0</v>
      </c>
      <c r="H24" s="2"/>
      <c r="I24" s="2"/>
    </row>
    <row r="25" spans="1:12" ht="16.5">
      <c r="A25" s="132" t="s">
        <v>7</v>
      </c>
      <c r="B25" s="56">
        <f>SUM(CONTRAPARTIDA!M20)</f>
        <v>0</v>
      </c>
      <c r="C25" s="56">
        <f>SUM(CONTRAPARTIDA!N20)</f>
        <v>308406.78999999998</v>
      </c>
      <c r="D25" s="139">
        <f t="shared" ref="D25:D32" si="7">SUM(B25:C25)</f>
        <v>308406.78999999998</v>
      </c>
      <c r="E25" s="49">
        <f>SUM(CONTRAPARTIDA!P20)</f>
        <v>84652.77</v>
      </c>
      <c r="F25" s="49">
        <f>SUM(CONTRAPARTIDA!Q20)</f>
        <v>59699.8</v>
      </c>
      <c r="G25" s="139">
        <f t="shared" ref="G25:G32" si="8">SUM(E25:F25)</f>
        <v>144352.57</v>
      </c>
      <c r="H25" s="2"/>
      <c r="I25" s="2"/>
    </row>
    <row r="26" spans="1:12" ht="16.5">
      <c r="A26" s="132" t="s">
        <v>10</v>
      </c>
      <c r="B26" s="56"/>
      <c r="C26" s="56"/>
      <c r="D26" s="139">
        <f t="shared" si="7"/>
        <v>0</v>
      </c>
      <c r="E26" s="49"/>
      <c r="F26" s="49"/>
      <c r="G26" s="139">
        <f t="shared" si="8"/>
        <v>0</v>
      </c>
      <c r="H26" s="2"/>
      <c r="I26" s="2"/>
    </row>
    <row r="27" spans="1:12" ht="16.5">
      <c r="A27" s="132" t="s">
        <v>51</v>
      </c>
      <c r="B27" s="56">
        <f>SUM(CONTRAPARTIDA!M22)</f>
        <v>0</v>
      </c>
      <c r="C27" s="56">
        <f>SUM(CONTRAPARTIDA!N22)</f>
        <v>0</v>
      </c>
      <c r="D27" s="139">
        <f t="shared" si="7"/>
        <v>0</v>
      </c>
      <c r="E27" s="56">
        <f>SUM(CONTRAPARTIDA!P22)</f>
        <v>27057.56</v>
      </c>
      <c r="F27" s="56">
        <f>SUM(CONTRAPARTIDA!Q22)</f>
        <v>0</v>
      </c>
      <c r="G27" s="139">
        <f t="shared" si="8"/>
        <v>27057.56</v>
      </c>
      <c r="H27" s="2"/>
      <c r="I27" s="2"/>
    </row>
    <row r="28" spans="1:12" ht="16.5">
      <c r="A28" s="132" t="s">
        <v>145</v>
      </c>
      <c r="B28" s="56"/>
      <c r="C28" s="56"/>
      <c r="D28" s="139">
        <f t="shared" si="7"/>
        <v>0</v>
      </c>
      <c r="E28" s="49"/>
      <c r="F28" s="49"/>
      <c r="G28" s="139">
        <f t="shared" si="8"/>
        <v>0</v>
      </c>
      <c r="H28" s="2"/>
      <c r="I28" s="2"/>
    </row>
    <row r="29" spans="1:12" ht="16.5">
      <c r="A29" s="132" t="s">
        <v>6</v>
      </c>
      <c r="B29" s="56">
        <f>SUM(CONTRAPARTIDA!M26)</f>
        <v>105660.73</v>
      </c>
      <c r="C29" s="56">
        <f>SUM(CONTRAPARTIDA!N26)</f>
        <v>0</v>
      </c>
      <c r="D29" s="139">
        <f t="shared" si="7"/>
        <v>105660.73</v>
      </c>
      <c r="E29" s="56">
        <f>SUM(CONTRAPARTIDA!P26)</f>
        <v>0</v>
      </c>
      <c r="F29" s="56">
        <f>SUM(CONTRAPARTIDA!Q26)</f>
        <v>0</v>
      </c>
      <c r="G29" s="139">
        <f t="shared" si="8"/>
        <v>0</v>
      </c>
      <c r="H29" s="2"/>
      <c r="I29" s="2"/>
    </row>
    <row r="30" spans="1:12" ht="16.5">
      <c r="A30" s="132" t="s">
        <v>146</v>
      </c>
      <c r="B30" s="56"/>
      <c r="C30" s="56"/>
      <c r="D30" s="139">
        <f t="shared" si="7"/>
        <v>0</v>
      </c>
      <c r="E30" s="49"/>
      <c r="F30" s="49"/>
      <c r="G30" s="139">
        <f t="shared" si="8"/>
        <v>0</v>
      </c>
      <c r="H30" s="2"/>
      <c r="I30" s="2"/>
    </row>
    <row r="31" spans="1:12" ht="16.5">
      <c r="A31" s="132" t="s">
        <v>8</v>
      </c>
      <c r="B31" s="56">
        <f>SUM(CONTRAPARTIDA!M28)</f>
        <v>0</v>
      </c>
      <c r="C31" s="56">
        <f>SUM(CONTRAPARTIDA!N28)</f>
        <v>0</v>
      </c>
      <c r="D31" s="139">
        <f t="shared" si="7"/>
        <v>0</v>
      </c>
      <c r="E31" s="56">
        <f>SUM(CONTRAPARTIDA!P28)</f>
        <v>0</v>
      </c>
      <c r="F31" s="56">
        <f>SUM(CONTRAPARTIDA!Q28)</f>
        <v>0</v>
      </c>
      <c r="G31" s="139">
        <f t="shared" si="8"/>
        <v>0</v>
      </c>
      <c r="H31" s="2"/>
      <c r="I31" s="2"/>
    </row>
    <row r="32" spans="1:12" ht="17.25" thickBot="1">
      <c r="A32" s="74" t="s">
        <v>15</v>
      </c>
      <c r="B32" s="110">
        <f>SUM(CONTRAPARTIDA!M34)</f>
        <v>44920.369999999995</v>
      </c>
      <c r="C32" s="110">
        <f>SUM(CONTRAPARTIDA!N34)</f>
        <v>16450</v>
      </c>
      <c r="D32" s="139">
        <f t="shared" si="7"/>
        <v>61370.369999999995</v>
      </c>
      <c r="E32" s="110">
        <f>SUM(CONTRAPARTIDA!P34)</f>
        <v>0</v>
      </c>
      <c r="F32" s="110">
        <f>SUM(CONTRAPARTIDA!Q34)</f>
        <v>0</v>
      </c>
      <c r="G32" s="139">
        <f t="shared" si="8"/>
        <v>0</v>
      </c>
      <c r="H32" s="2"/>
      <c r="I32" s="2"/>
    </row>
    <row r="33" spans="1:10" ht="17.25" thickBot="1">
      <c r="A33" s="136" t="s">
        <v>17</v>
      </c>
      <c r="B33" s="140">
        <f t="shared" ref="B33:G33" si="9">SUM(B23:B32)</f>
        <v>150581.09999999998</v>
      </c>
      <c r="C33" s="140">
        <f t="shared" si="9"/>
        <v>369380.85</v>
      </c>
      <c r="D33" s="140">
        <f t="shared" si="9"/>
        <v>519961.94999999995</v>
      </c>
      <c r="E33" s="140">
        <f t="shared" si="9"/>
        <v>111710.33</v>
      </c>
      <c r="F33" s="140">
        <f t="shared" si="9"/>
        <v>103830.28</v>
      </c>
      <c r="G33" s="140">
        <f t="shared" si="9"/>
        <v>215540.61000000002</v>
      </c>
      <c r="H33" s="2"/>
      <c r="I33" s="2"/>
    </row>
    <row r="34" spans="1:10" ht="17.25" thickBot="1">
      <c r="A34" s="136" t="s">
        <v>18</v>
      </c>
      <c r="B34" s="140">
        <f t="shared" ref="B34:G34" si="10">B33-B35</f>
        <v>150581.09999999998</v>
      </c>
      <c r="C34" s="140">
        <f t="shared" si="10"/>
        <v>369380.85</v>
      </c>
      <c r="D34" s="140">
        <f t="shared" si="10"/>
        <v>519961.94999999995</v>
      </c>
      <c r="E34" s="140">
        <f t="shared" si="10"/>
        <v>111710.33</v>
      </c>
      <c r="F34" s="140">
        <f t="shared" si="10"/>
        <v>103830.28</v>
      </c>
      <c r="G34" s="140">
        <f t="shared" si="10"/>
        <v>215540.61000000002</v>
      </c>
      <c r="H34" s="2"/>
      <c r="I34" s="2"/>
    </row>
    <row r="35" spans="1:10" ht="17.25" thickBot="1">
      <c r="A35" s="136" t="s">
        <v>19</v>
      </c>
      <c r="B35" s="140">
        <f t="shared" ref="B35:G35" si="11">SUM(B24+B26)</f>
        <v>0</v>
      </c>
      <c r="C35" s="140">
        <f t="shared" si="11"/>
        <v>0</v>
      </c>
      <c r="D35" s="140">
        <f t="shared" si="11"/>
        <v>0</v>
      </c>
      <c r="E35" s="140">
        <f t="shared" si="11"/>
        <v>0</v>
      </c>
      <c r="F35" s="140">
        <f t="shared" si="11"/>
        <v>0</v>
      </c>
      <c r="G35" s="140">
        <f t="shared" si="11"/>
        <v>0</v>
      </c>
      <c r="H35" s="2"/>
      <c r="I35" s="2"/>
    </row>
    <row r="36" spans="1:10" ht="18.75">
      <c r="B36" s="2"/>
      <c r="C36" s="2"/>
      <c r="D36" s="112"/>
      <c r="E36" s="2"/>
      <c r="F36" s="2"/>
      <c r="G36" s="2"/>
      <c r="H36" s="27"/>
      <c r="J36" s="27"/>
    </row>
    <row r="37" spans="1:10" ht="18.75">
      <c r="B37" s="2"/>
      <c r="C37" s="2"/>
      <c r="D37" s="2"/>
      <c r="E37" s="2"/>
      <c r="F37" s="2"/>
      <c r="G37" s="2"/>
      <c r="H37" s="27"/>
      <c r="J37" s="27"/>
    </row>
    <row r="38" spans="1:10" ht="18.75">
      <c r="B38" s="2"/>
      <c r="C38" s="2"/>
      <c r="D38" s="2"/>
      <c r="E38" s="2"/>
      <c r="F38" s="2"/>
      <c r="G38" s="2"/>
      <c r="H38" s="27"/>
      <c r="J38" s="27"/>
    </row>
  </sheetData>
  <mergeCells count="14">
    <mergeCell ref="A20:A22"/>
    <mergeCell ref="A1:K1"/>
    <mergeCell ref="A2:J2"/>
    <mergeCell ref="A3:A5"/>
    <mergeCell ref="B3:D3"/>
    <mergeCell ref="E3:G3"/>
    <mergeCell ref="H3:J3"/>
    <mergeCell ref="B4:D4"/>
    <mergeCell ref="E4:G4"/>
    <mergeCell ref="H4:J4"/>
    <mergeCell ref="B20:D20"/>
    <mergeCell ref="E20:G20"/>
    <mergeCell ref="B21:D21"/>
    <mergeCell ref="E21:G21"/>
  </mergeCells>
  <pageMargins left="0.39370078740157483" right="0.62992125984251968" top="0.23622047244094491" bottom="0.23622047244094491" header="0" footer="0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70" zoomScaleNormal="70" workbookViewId="0">
      <pane xSplit="7" ySplit="1" topLeftCell="H2" activePane="bottomRight" state="frozen"/>
      <selection pane="topRight" activeCell="I1" sqref="I1"/>
      <selection pane="bottomLeft" activeCell="A6" sqref="A6"/>
      <selection pane="bottomRight" activeCell="A6" sqref="A6:A18"/>
    </sheetView>
  </sheetViews>
  <sheetFormatPr defaultRowHeight="19.5"/>
  <cols>
    <col min="1" max="1" width="11.5703125" style="46" customWidth="1"/>
    <col min="2" max="4" width="16.140625" style="7" bestFit="1" customWidth="1"/>
    <col min="5" max="5" width="16" style="5" customWidth="1"/>
    <col min="6" max="6" width="15.7109375" style="6" customWidth="1"/>
    <col min="7" max="7" width="16.140625" style="6" bestFit="1" customWidth="1"/>
    <col min="8" max="8" width="7" style="2" bestFit="1" customWidth="1"/>
    <col min="9" max="9" width="13.140625" style="2" customWidth="1"/>
    <col min="10" max="10" width="15.140625" style="2" customWidth="1"/>
    <col min="11" max="11" width="15.140625" style="2" bestFit="1" customWidth="1"/>
    <col min="12" max="13" width="16.5703125" style="2" customWidth="1"/>
    <col min="14" max="14" width="16.5703125" style="2" bestFit="1" customWidth="1"/>
    <col min="15" max="15" width="13.140625" style="2" customWidth="1"/>
    <col min="16" max="16" width="15.140625" style="2" customWidth="1"/>
    <col min="17" max="17" width="15.140625" style="2" bestFit="1" customWidth="1"/>
    <col min="18" max="19" width="16.5703125" style="27" customWidth="1"/>
    <col min="20" max="20" width="16.7109375" style="27" bestFit="1" customWidth="1"/>
    <col min="21" max="21" width="13.140625" style="27" customWidth="1"/>
    <col min="22" max="22" width="15.140625" style="27" customWidth="1"/>
    <col min="23" max="23" width="15.42578125" style="27" bestFit="1" customWidth="1"/>
    <col min="24" max="24" width="13.140625" style="2" customWidth="1"/>
    <col min="25" max="26" width="15.140625" style="2" customWidth="1"/>
    <col min="27" max="27" width="15.140625" style="2" bestFit="1" customWidth="1"/>
  </cols>
  <sheetData>
    <row r="1" spans="1:28" s="29" customFormat="1" ht="20.25">
      <c r="A1" s="299" t="s">
        <v>3</v>
      </c>
      <c r="B1" s="299"/>
      <c r="C1" s="299"/>
      <c r="D1" s="299"/>
      <c r="E1" s="299"/>
      <c r="F1" s="299"/>
      <c r="G1" s="299"/>
      <c r="H1" s="28"/>
      <c r="I1" s="28"/>
      <c r="J1" s="28"/>
      <c r="K1" s="28"/>
      <c r="L1" s="69"/>
      <c r="M1" s="69"/>
      <c r="N1" s="28"/>
      <c r="O1" s="28"/>
      <c r="P1" s="28"/>
      <c r="Q1" s="28"/>
      <c r="R1" s="113"/>
      <c r="S1" s="113"/>
      <c r="T1" s="114"/>
      <c r="U1" s="114"/>
      <c r="V1" s="114"/>
      <c r="W1" s="114"/>
      <c r="X1" s="28"/>
      <c r="Y1" s="28"/>
      <c r="Z1" s="28"/>
      <c r="AA1" s="28"/>
    </row>
    <row r="2" spans="1:28" ht="27" thickBot="1">
      <c r="A2" s="300" t="s">
        <v>147</v>
      </c>
      <c r="B2" s="300"/>
      <c r="C2" s="300"/>
      <c r="D2" s="300"/>
      <c r="E2" s="300"/>
      <c r="F2" s="300"/>
      <c r="G2" s="300"/>
    </row>
    <row r="3" spans="1:28" s="2" customFormat="1" ht="16.5" thickBot="1">
      <c r="A3" s="304" t="s">
        <v>0</v>
      </c>
      <c r="B3" s="314">
        <v>2016</v>
      </c>
      <c r="C3" s="315"/>
      <c r="D3" s="315"/>
      <c r="E3" s="314">
        <v>2017</v>
      </c>
      <c r="F3" s="315"/>
      <c r="G3" s="316"/>
      <c r="R3" s="27"/>
      <c r="S3" s="27"/>
      <c r="T3" s="27"/>
      <c r="U3" s="27"/>
      <c r="V3" s="27"/>
      <c r="W3" s="27"/>
      <c r="AB3"/>
    </row>
    <row r="4" spans="1:28" s="2" customFormat="1" ht="16.5" thickBot="1">
      <c r="A4" s="305"/>
      <c r="B4" s="314" t="s">
        <v>14</v>
      </c>
      <c r="C4" s="315"/>
      <c r="D4" s="316"/>
      <c r="E4" s="314" t="s">
        <v>14</v>
      </c>
      <c r="F4" s="315"/>
      <c r="G4" s="316"/>
      <c r="R4" s="27"/>
      <c r="S4" s="27"/>
      <c r="T4" s="27"/>
      <c r="U4" s="27"/>
      <c r="V4" s="27"/>
      <c r="W4" s="27"/>
      <c r="AB4"/>
    </row>
    <row r="5" spans="1:28" s="2" customFormat="1" ht="16.5" thickBot="1">
      <c r="A5" s="306"/>
      <c r="B5" s="4" t="s">
        <v>1</v>
      </c>
      <c r="C5" s="4" t="s">
        <v>2</v>
      </c>
      <c r="D5" s="4" t="s">
        <v>4</v>
      </c>
      <c r="E5" s="4" t="s">
        <v>1</v>
      </c>
      <c r="F5" s="4" t="s">
        <v>2</v>
      </c>
      <c r="G5" s="4" t="s">
        <v>4</v>
      </c>
      <c r="R5" s="27"/>
      <c r="S5" s="27"/>
      <c r="T5" s="27"/>
      <c r="U5" s="27"/>
      <c r="V5" s="27"/>
      <c r="W5" s="27"/>
      <c r="AB5"/>
    </row>
    <row r="6" spans="1:28" s="2" customFormat="1" ht="20.25">
      <c r="A6" s="152" t="s">
        <v>5</v>
      </c>
      <c r="B6" s="145">
        <f>SUM(CONTRAPARTIDA!M11)</f>
        <v>0</v>
      </c>
      <c r="C6" s="145">
        <f>SUM(CONTRAPARTIDA!N11)</f>
        <v>44524.06</v>
      </c>
      <c r="D6" s="146">
        <f>SUM(B6:C6)</f>
        <v>44524.06</v>
      </c>
      <c r="E6" s="147">
        <f>SUM(CONTRAPARTIDA!P11)</f>
        <v>0</v>
      </c>
      <c r="F6" s="147">
        <f>SUM(CONTRAPARTIDA!Q11)</f>
        <v>44130.48</v>
      </c>
      <c r="G6" s="146">
        <f>SUM(E6:F6)</f>
        <v>44130.48</v>
      </c>
      <c r="R6" s="27"/>
      <c r="S6" s="27"/>
      <c r="T6" s="27"/>
      <c r="U6" s="27"/>
      <c r="V6" s="27"/>
      <c r="W6" s="27"/>
      <c r="AB6"/>
    </row>
    <row r="7" spans="1:28" s="2" customFormat="1" ht="20.25">
      <c r="A7" s="153" t="s">
        <v>9</v>
      </c>
      <c r="B7" s="148">
        <f>SUM('Em execução (PF)'!Y14)</f>
        <v>0</v>
      </c>
      <c r="C7" s="148">
        <f>SUM('Em execução (PF)'!Z14)</f>
        <v>56000</v>
      </c>
      <c r="D7" s="146">
        <f>SUM(B7:C7)</f>
        <v>56000</v>
      </c>
      <c r="E7" s="147"/>
      <c r="F7" s="147"/>
      <c r="G7" s="146">
        <f>SUM(E7:F7)</f>
        <v>0</v>
      </c>
      <c r="R7" s="27"/>
      <c r="S7" s="27"/>
      <c r="T7" s="27"/>
      <c r="U7" s="27"/>
      <c r="V7" s="27"/>
      <c r="W7" s="27"/>
      <c r="AB7"/>
    </row>
    <row r="8" spans="1:28" s="2" customFormat="1" ht="20.25">
      <c r="A8" s="153" t="s">
        <v>7</v>
      </c>
      <c r="B8" s="149">
        <f>SUM(CONTRAPARTIDA!M20)</f>
        <v>0</v>
      </c>
      <c r="C8" s="149">
        <f>SUM(CONTRAPARTIDA!N20)</f>
        <v>308406.78999999998</v>
      </c>
      <c r="D8" s="146">
        <f t="shared" ref="D8:D15" si="0">SUM(B8:C8)</f>
        <v>308406.78999999998</v>
      </c>
      <c r="E8" s="147">
        <f>SUM(CONTRAPARTIDA!P20)</f>
        <v>84652.77</v>
      </c>
      <c r="F8" s="147">
        <f>SUM(CONTRAPARTIDA!Q20)</f>
        <v>59699.8</v>
      </c>
      <c r="G8" s="146">
        <f t="shared" ref="G8:G15" si="1">SUM(E8:F8)</f>
        <v>144352.57</v>
      </c>
      <c r="R8" s="27"/>
      <c r="S8" s="27"/>
      <c r="T8" s="27"/>
      <c r="U8" s="27"/>
      <c r="V8" s="27"/>
      <c r="W8" s="27"/>
      <c r="AB8"/>
    </row>
    <row r="9" spans="1:28" s="2" customFormat="1" ht="20.25">
      <c r="A9" s="153" t="s">
        <v>10</v>
      </c>
      <c r="B9" s="149">
        <f>SUM('Em execução (PF)'!Y32)</f>
        <v>65759.350000000006</v>
      </c>
      <c r="C9" s="149">
        <f>SUM('Em execução (PF)'!Z32)</f>
        <v>70300</v>
      </c>
      <c r="D9" s="146">
        <f t="shared" si="0"/>
        <v>136059.35</v>
      </c>
      <c r="E9" s="147"/>
      <c r="F9" s="147">
        <f>SUM('Em execução'!P31)</f>
        <v>138888.9</v>
      </c>
      <c r="G9" s="146">
        <f t="shared" si="1"/>
        <v>138888.9</v>
      </c>
      <c r="R9" s="27"/>
      <c r="S9" s="27"/>
      <c r="T9" s="27"/>
      <c r="U9" s="27"/>
      <c r="V9" s="27"/>
      <c r="W9" s="27"/>
      <c r="AB9"/>
    </row>
    <row r="10" spans="1:28" s="2" customFormat="1" ht="20.25">
      <c r="A10" s="153" t="s">
        <v>51</v>
      </c>
      <c r="B10" s="149">
        <f>SUM(CONTRAPARTIDA!M22)</f>
        <v>0</v>
      </c>
      <c r="C10" s="149">
        <f>SUM(CONTRAPARTIDA!N22)</f>
        <v>0</v>
      </c>
      <c r="D10" s="146">
        <f t="shared" si="0"/>
        <v>0</v>
      </c>
      <c r="E10" s="149">
        <f>SUM(CONTRAPARTIDA!P22)</f>
        <v>27057.56</v>
      </c>
      <c r="F10" s="149">
        <f>SUM(CONTRAPARTIDA!Q22)</f>
        <v>0</v>
      </c>
      <c r="G10" s="146">
        <f t="shared" si="1"/>
        <v>27057.56</v>
      </c>
      <c r="R10" s="27"/>
      <c r="S10" s="27"/>
      <c r="T10" s="27"/>
      <c r="U10" s="27"/>
      <c r="V10" s="27"/>
      <c r="W10" s="27"/>
      <c r="AB10"/>
    </row>
    <row r="11" spans="1:28" s="2" customFormat="1" ht="20.25">
      <c r="A11" s="153" t="s">
        <v>145</v>
      </c>
      <c r="B11" s="149"/>
      <c r="C11" s="149"/>
      <c r="D11" s="146">
        <f t="shared" si="0"/>
        <v>0</v>
      </c>
      <c r="E11" s="147"/>
      <c r="F11" s="147"/>
      <c r="G11" s="146">
        <f t="shared" si="1"/>
        <v>0</v>
      </c>
      <c r="R11" s="27"/>
      <c r="S11" s="27"/>
      <c r="T11" s="27"/>
      <c r="U11" s="27"/>
      <c r="V11" s="27"/>
      <c r="W11" s="27"/>
      <c r="AB11"/>
    </row>
    <row r="12" spans="1:28" s="2" customFormat="1" ht="20.25">
      <c r="A12" s="153" t="s">
        <v>6</v>
      </c>
      <c r="B12" s="149">
        <f>SUM(CONTRAPARTIDA!M26)</f>
        <v>105660.73</v>
      </c>
      <c r="C12" s="149">
        <f>SUM(CONTRAPARTIDA!N26)</f>
        <v>0</v>
      </c>
      <c r="D12" s="146">
        <f t="shared" si="0"/>
        <v>105660.73</v>
      </c>
      <c r="E12" s="149">
        <f>SUM(CONTRAPARTIDA!P26)</f>
        <v>0</v>
      </c>
      <c r="F12" s="149">
        <f>SUM(CONTRAPARTIDA!Q26)</f>
        <v>0</v>
      </c>
      <c r="G12" s="146">
        <f t="shared" si="1"/>
        <v>0</v>
      </c>
      <c r="R12" s="27"/>
      <c r="S12" s="27"/>
      <c r="T12" s="27"/>
      <c r="U12" s="27"/>
      <c r="V12" s="27"/>
      <c r="W12" s="27"/>
      <c r="AB12"/>
    </row>
    <row r="13" spans="1:28" s="2" customFormat="1" ht="20.25">
      <c r="A13" s="153" t="s">
        <v>146</v>
      </c>
      <c r="B13" s="149"/>
      <c r="C13" s="149"/>
      <c r="D13" s="146">
        <f t="shared" si="0"/>
        <v>0</v>
      </c>
      <c r="E13" s="147"/>
      <c r="F13" s="147"/>
      <c r="G13" s="146">
        <f t="shared" si="1"/>
        <v>0</v>
      </c>
      <c r="R13" s="27"/>
      <c r="S13" s="27"/>
      <c r="T13" s="27"/>
      <c r="U13" s="27"/>
      <c r="V13" s="27"/>
      <c r="W13" s="27"/>
      <c r="AB13"/>
    </row>
    <row r="14" spans="1:28" s="2" customFormat="1" ht="20.25">
      <c r="A14" s="153" t="s">
        <v>8</v>
      </c>
      <c r="B14" s="149">
        <f>SUM(CONTRAPARTIDA!M28)</f>
        <v>0</v>
      </c>
      <c r="C14" s="149">
        <f>SUM(CONTRAPARTIDA!N28)</f>
        <v>0</v>
      </c>
      <c r="D14" s="146">
        <f t="shared" si="0"/>
        <v>0</v>
      </c>
      <c r="E14" s="149">
        <f>SUM(CONTRAPARTIDA!P28)</f>
        <v>0</v>
      </c>
      <c r="F14" s="149">
        <f>SUM(CONTRAPARTIDA!Q28)</f>
        <v>0</v>
      </c>
      <c r="G14" s="146">
        <f t="shared" si="1"/>
        <v>0</v>
      </c>
      <c r="R14" s="27"/>
      <c r="S14" s="27"/>
      <c r="T14" s="27"/>
      <c r="U14" s="27"/>
      <c r="V14" s="27"/>
      <c r="W14" s="27"/>
      <c r="AB14"/>
    </row>
    <row r="15" spans="1:28" s="2" customFormat="1" ht="21" thickBot="1">
      <c r="A15" s="154" t="s">
        <v>15</v>
      </c>
      <c r="B15" s="150">
        <f>SUM(CONTRAPARTIDA!M34)</f>
        <v>44920.369999999995</v>
      </c>
      <c r="C15" s="150">
        <f>SUM(CONTRAPARTIDA!N34)</f>
        <v>16450</v>
      </c>
      <c r="D15" s="146">
        <f t="shared" si="0"/>
        <v>61370.369999999995</v>
      </c>
      <c r="E15" s="150">
        <f>SUM(CONTRAPARTIDA!P34)</f>
        <v>0</v>
      </c>
      <c r="F15" s="150">
        <f>SUM(CONTRAPARTIDA!Q34)</f>
        <v>0</v>
      </c>
      <c r="G15" s="146">
        <f t="shared" si="1"/>
        <v>0</v>
      </c>
      <c r="R15" s="27"/>
      <c r="S15" s="27"/>
      <c r="T15" s="27"/>
      <c r="U15" s="27"/>
      <c r="V15" s="27"/>
      <c r="W15" s="27"/>
      <c r="AB15"/>
    </row>
    <row r="16" spans="1:28" s="2" customFormat="1" ht="21" thickBot="1">
      <c r="A16" s="155" t="s">
        <v>17</v>
      </c>
      <c r="B16" s="151">
        <f t="shared" ref="B16:G16" si="2">SUM(B6:B15)</f>
        <v>216340.45</v>
      </c>
      <c r="C16" s="151">
        <f t="shared" si="2"/>
        <v>495680.85</v>
      </c>
      <c r="D16" s="151">
        <f t="shared" si="2"/>
        <v>712021.29999999993</v>
      </c>
      <c r="E16" s="151">
        <f t="shared" si="2"/>
        <v>111710.33</v>
      </c>
      <c r="F16" s="151">
        <f t="shared" si="2"/>
        <v>242719.18</v>
      </c>
      <c r="G16" s="151">
        <f t="shared" si="2"/>
        <v>354429.51</v>
      </c>
      <c r="R16" s="27"/>
      <c r="S16" s="27"/>
      <c r="T16" s="27"/>
      <c r="U16" s="27"/>
      <c r="V16" s="27"/>
      <c r="W16" s="27"/>
      <c r="AB16"/>
    </row>
    <row r="17" spans="1:28" s="2" customFormat="1" ht="21" thickBot="1">
      <c r="A17" s="155" t="s">
        <v>18</v>
      </c>
      <c r="B17" s="151">
        <f t="shared" ref="B17:G17" si="3">B16-B18</f>
        <v>150581.1</v>
      </c>
      <c r="C17" s="151">
        <f t="shared" si="3"/>
        <v>369380.85</v>
      </c>
      <c r="D17" s="151">
        <f t="shared" si="3"/>
        <v>519961.94999999995</v>
      </c>
      <c r="E17" s="151">
        <f t="shared" si="3"/>
        <v>111710.33</v>
      </c>
      <c r="F17" s="151">
        <f t="shared" si="3"/>
        <v>103830.28</v>
      </c>
      <c r="G17" s="151">
        <f t="shared" si="3"/>
        <v>215540.61000000002</v>
      </c>
      <c r="R17" s="27"/>
      <c r="S17" s="27"/>
      <c r="T17" s="27"/>
      <c r="U17" s="27"/>
      <c r="V17" s="27"/>
      <c r="W17" s="27"/>
      <c r="AB17"/>
    </row>
    <row r="18" spans="1:28" s="2" customFormat="1" ht="21" thickBot="1">
      <c r="A18" s="155" t="s">
        <v>19</v>
      </c>
      <c r="B18" s="151">
        <f t="shared" ref="B18:G18" si="4">SUM(B7+B9)</f>
        <v>65759.350000000006</v>
      </c>
      <c r="C18" s="151">
        <f t="shared" si="4"/>
        <v>126300</v>
      </c>
      <c r="D18" s="151">
        <f t="shared" si="4"/>
        <v>192059.35</v>
      </c>
      <c r="E18" s="151">
        <f t="shared" si="4"/>
        <v>0</v>
      </c>
      <c r="F18" s="151">
        <f t="shared" si="4"/>
        <v>138888.9</v>
      </c>
      <c r="G18" s="151">
        <f t="shared" si="4"/>
        <v>138888.9</v>
      </c>
      <c r="R18" s="27"/>
      <c r="S18" s="27"/>
      <c r="T18" s="27"/>
      <c r="U18" s="27"/>
      <c r="V18" s="27"/>
      <c r="W18" s="27"/>
      <c r="AB18"/>
    </row>
    <row r="19" spans="1:28" s="2" customFormat="1" ht="34.5" customHeight="1">
      <c r="A19" s="345" t="s">
        <v>151</v>
      </c>
      <c r="B19" s="345"/>
      <c r="C19" s="345"/>
      <c r="D19" s="345"/>
      <c r="E19" s="345"/>
      <c r="F19" s="345"/>
      <c r="G19" s="345"/>
      <c r="R19" s="27"/>
      <c r="S19" s="27"/>
      <c r="T19" s="27"/>
      <c r="U19" s="27"/>
      <c r="V19" s="27"/>
      <c r="W19" s="27"/>
      <c r="AB19"/>
    </row>
    <row r="20" spans="1:28" s="2" customFormat="1" ht="18.75">
      <c r="A20" s="46"/>
      <c r="R20" s="27"/>
      <c r="S20" s="27"/>
      <c r="T20" s="27"/>
      <c r="U20" s="27"/>
      <c r="V20" s="27"/>
      <c r="W20" s="27"/>
      <c r="AB20"/>
    </row>
    <row r="21" spans="1:28" s="2" customFormat="1" ht="18.75">
      <c r="A21" s="46"/>
      <c r="R21" s="27"/>
      <c r="S21" s="27"/>
      <c r="T21" s="27"/>
      <c r="U21" s="27"/>
      <c r="V21" s="27"/>
      <c r="W21" s="27"/>
      <c r="AB21"/>
    </row>
  </sheetData>
  <mergeCells count="8">
    <mergeCell ref="A19:G19"/>
    <mergeCell ref="A1:G1"/>
    <mergeCell ref="A2:G2"/>
    <mergeCell ref="A3:A5"/>
    <mergeCell ref="B3:D3"/>
    <mergeCell ref="E3:G3"/>
    <mergeCell ref="B4:D4"/>
    <mergeCell ref="E4:G4"/>
  </mergeCells>
  <pageMargins left="0.59055118110236227" right="0.39370078740157483" top="0.39370078740157483" bottom="0.62992125984251968" header="0" footer="0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="70" zoomScaleNormal="70" workbookViewId="0">
      <pane xSplit="9" ySplit="5" topLeftCell="M6" activePane="bottomRight" state="frozen"/>
      <selection pane="topRight" activeCell="I1" sqref="I1"/>
      <selection pane="bottomLeft" activeCell="A6" sqref="A6"/>
      <selection pane="bottomRight" activeCell="M3" sqref="M3:R5"/>
    </sheetView>
  </sheetViews>
  <sheetFormatPr defaultRowHeight="19.5"/>
  <cols>
    <col min="1" max="1" width="11.5703125" style="46" customWidth="1"/>
    <col min="2" max="2" width="4.42578125" style="7" customWidth="1"/>
    <col min="3" max="3" width="3.85546875" style="7" customWidth="1"/>
    <col min="4" max="4" width="4.5703125" style="7" customWidth="1"/>
    <col min="5" max="5" width="8.42578125" style="5" customWidth="1"/>
    <col min="6" max="6" width="10.85546875" style="6" customWidth="1"/>
    <col min="7" max="7" width="12.28515625" style="6" customWidth="1"/>
    <col min="8" max="8" width="25.28515625" style="41" customWidth="1"/>
    <col min="9" max="9" width="25.7109375" style="27" customWidth="1"/>
    <col min="10" max="10" width="17.28515625" style="99" customWidth="1"/>
    <col min="11" max="11" width="15.140625" style="99" customWidth="1"/>
    <col min="12" max="12" width="17.42578125" style="99" customWidth="1"/>
    <col min="13" max="13" width="13.140625" style="2" customWidth="1"/>
    <col min="14" max="14" width="15.140625" style="2" customWidth="1"/>
    <col min="15" max="15" width="15.140625" style="2" bestFit="1" customWidth="1"/>
    <col min="16" max="16" width="13.140625" style="2" customWidth="1"/>
    <col min="17" max="17" width="15.140625" style="2" customWidth="1"/>
    <col min="18" max="18" width="15.140625" style="2" bestFit="1" customWidth="1"/>
    <col min="19" max="24" width="9.140625" style="8"/>
  </cols>
  <sheetData>
    <row r="1" spans="1:24" s="29" customFormat="1" ht="20.25">
      <c r="A1" s="299" t="s">
        <v>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8"/>
      <c r="N1" s="28"/>
      <c r="O1" s="28"/>
      <c r="P1" s="28"/>
      <c r="Q1" s="28"/>
      <c r="R1" s="28"/>
      <c r="S1" s="69"/>
      <c r="T1" s="69"/>
      <c r="U1" s="69"/>
      <c r="V1" s="69"/>
      <c r="W1" s="69"/>
      <c r="X1" s="69"/>
    </row>
    <row r="2" spans="1:24" s="3" customFormat="1" ht="27" thickBot="1">
      <c r="A2" s="300" t="s">
        <v>124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70"/>
      <c r="Q2" s="70"/>
      <c r="R2" s="70"/>
      <c r="S2" s="70"/>
      <c r="T2" s="70"/>
      <c r="U2" s="70"/>
      <c r="V2" s="70"/>
      <c r="W2" s="70"/>
      <c r="X2" s="70"/>
    </row>
    <row r="3" spans="1:24" s="1" customFormat="1" ht="16.5" customHeight="1" thickBot="1">
      <c r="A3" s="301" t="s">
        <v>36</v>
      </c>
      <c r="B3" s="320" t="s">
        <v>119</v>
      </c>
      <c r="C3" s="320"/>
      <c r="D3" s="320"/>
      <c r="E3" s="304" t="s">
        <v>0</v>
      </c>
      <c r="F3" s="307" t="s">
        <v>20</v>
      </c>
      <c r="G3" s="335" t="s">
        <v>77</v>
      </c>
      <c r="H3" s="307" t="s">
        <v>24</v>
      </c>
      <c r="I3" s="307" t="s">
        <v>21</v>
      </c>
      <c r="J3" s="310" t="s">
        <v>120</v>
      </c>
      <c r="K3" s="310"/>
      <c r="L3" s="310"/>
      <c r="M3" s="311" t="s">
        <v>129</v>
      </c>
      <c r="N3" s="312"/>
      <c r="O3" s="312"/>
      <c r="P3" s="312"/>
      <c r="Q3" s="312"/>
      <c r="R3" s="313"/>
      <c r="S3" s="71"/>
      <c r="T3" s="71"/>
      <c r="U3" s="71"/>
      <c r="V3" s="71"/>
      <c r="W3" s="71"/>
      <c r="X3" s="71"/>
    </row>
    <row r="4" spans="1:24" s="1" customFormat="1" ht="16.5" customHeight="1" thickBot="1">
      <c r="A4" s="302"/>
      <c r="B4" s="320"/>
      <c r="C4" s="320"/>
      <c r="D4" s="320"/>
      <c r="E4" s="305"/>
      <c r="F4" s="308"/>
      <c r="G4" s="336"/>
      <c r="H4" s="308"/>
      <c r="I4" s="308"/>
      <c r="J4" s="310"/>
      <c r="K4" s="310"/>
      <c r="L4" s="310"/>
      <c r="M4" s="314" t="s">
        <v>150</v>
      </c>
      <c r="N4" s="315"/>
      <c r="O4" s="316"/>
      <c r="P4" s="314" t="s">
        <v>149</v>
      </c>
      <c r="Q4" s="315"/>
      <c r="R4" s="316"/>
      <c r="S4" s="71"/>
      <c r="T4" s="71"/>
      <c r="U4" s="71"/>
      <c r="V4" s="71"/>
      <c r="W4" s="71"/>
      <c r="X4" s="71"/>
    </row>
    <row r="5" spans="1:24" s="1" customFormat="1" ht="32.25" thickBot="1">
      <c r="A5" s="303"/>
      <c r="B5" s="101" t="s">
        <v>11</v>
      </c>
      <c r="C5" s="101" t="s">
        <v>12</v>
      </c>
      <c r="D5" s="101" t="s">
        <v>13</v>
      </c>
      <c r="E5" s="306"/>
      <c r="F5" s="309"/>
      <c r="G5" s="337"/>
      <c r="H5" s="309"/>
      <c r="I5" s="309"/>
      <c r="J5" s="4" t="s">
        <v>39</v>
      </c>
      <c r="K5" s="4" t="s">
        <v>122</v>
      </c>
      <c r="L5" s="4" t="s">
        <v>4</v>
      </c>
      <c r="M5" s="4" t="s">
        <v>1</v>
      </c>
      <c r="N5" s="4" t="s">
        <v>2</v>
      </c>
      <c r="O5" s="4" t="s">
        <v>4</v>
      </c>
      <c r="P5" s="4" t="s">
        <v>1</v>
      </c>
      <c r="Q5" s="4" t="s">
        <v>2</v>
      </c>
      <c r="R5" s="4" t="s">
        <v>4</v>
      </c>
      <c r="S5" s="71"/>
      <c r="T5" s="71"/>
      <c r="U5" s="71"/>
      <c r="V5" s="71"/>
      <c r="W5" s="71"/>
      <c r="X5" s="71"/>
    </row>
    <row r="6" spans="1:24" s="54" customFormat="1" ht="33">
      <c r="A6" s="103" t="s">
        <v>31</v>
      </c>
      <c r="B6" s="90">
        <v>16</v>
      </c>
      <c r="C6" s="90">
        <v>6</v>
      </c>
      <c r="D6" s="90">
        <v>16</v>
      </c>
      <c r="E6" s="47" t="s">
        <v>5</v>
      </c>
      <c r="F6" s="75">
        <v>3901</v>
      </c>
      <c r="G6" s="80" t="s">
        <v>78</v>
      </c>
      <c r="H6" s="48" t="s">
        <v>25</v>
      </c>
      <c r="I6" s="86"/>
      <c r="J6" s="53">
        <v>7036445.8899999997</v>
      </c>
      <c r="K6" s="53">
        <v>781830.11</v>
      </c>
      <c r="L6" s="52">
        <f>SUM(J6:K6)</f>
        <v>7818276</v>
      </c>
      <c r="M6" s="49"/>
      <c r="N6" s="59">
        <f>13524.06</f>
        <v>13524.06</v>
      </c>
      <c r="O6" s="51">
        <f>SUM(M6:N6)</f>
        <v>13524.06</v>
      </c>
      <c r="P6" s="49"/>
      <c r="Q6" s="59"/>
      <c r="R6" s="51">
        <f>SUM(P6:Q6)</f>
        <v>0</v>
      </c>
      <c r="S6" s="72"/>
      <c r="T6" s="72"/>
      <c r="U6" s="72"/>
      <c r="V6" s="72"/>
      <c r="W6" s="72"/>
      <c r="X6" s="72"/>
    </row>
    <row r="7" spans="1:24" s="54" customFormat="1" ht="33" customHeight="1">
      <c r="A7" s="102" t="s">
        <v>32</v>
      </c>
      <c r="B7" s="106">
        <v>17</v>
      </c>
      <c r="C7" s="106">
        <v>12</v>
      </c>
      <c r="D7" s="106">
        <v>16</v>
      </c>
      <c r="E7" s="58" t="s">
        <v>5</v>
      </c>
      <c r="F7" s="75">
        <f>3953</f>
        <v>3953</v>
      </c>
      <c r="G7" s="80" t="s">
        <v>79</v>
      </c>
      <c r="H7" s="48" t="s">
        <v>26</v>
      </c>
      <c r="I7" s="87" t="s">
        <v>125</v>
      </c>
      <c r="J7" s="60">
        <v>500000</v>
      </c>
      <c r="K7" s="60">
        <v>56000.7</v>
      </c>
      <c r="L7" s="67">
        <f>SUM(J7:K7)</f>
        <v>556000.69999999995</v>
      </c>
      <c r="M7" s="49"/>
      <c r="N7" s="50"/>
      <c r="O7" s="51">
        <f>SUM(M7:N7)</f>
        <v>0</v>
      </c>
      <c r="P7" s="49"/>
      <c r="Q7" s="50">
        <v>0</v>
      </c>
      <c r="R7" s="51">
        <f>SUM(P7:Q7)</f>
        <v>0</v>
      </c>
      <c r="S7" s="72"/>
      <c r="T7" s="72"/>
      <c r="U7" s="72"/>
      <c r="V7" s="72"/>
      <c r="W7" s="72"/>
      <c r="X7" s="72"/>
    </row>
    <row r="8" spans="1:24" s="54" customFormat="1" ht="33" customHeight="1">
      <c r="A8" s="77" t="s">
        <v>55</v>
      </c>
      <c r="B8" s="107">
        <v>20</v>
      </c>
      <c r="C8" s="107">
        <v>12</v>
      </c>
      <c r="D8" s="107">
        <v>16</v>
      </c>
      <c r="E8" s="61" t="s">
        <v>5</v>
      </c>
      <c r="F8" s="76">
        <v>4168</v>
      </c>
      <c r="G8" s="81" t="s">
        <v>80</v>
      </c>
      <c r="H8" s="62" t="s">
        <v>61</v>
      </c>
      <c r="I8" s="86" t="s">
        <v>23</v>
      </c>
      <c r="J8" s="66">
        <v>2000000</v>
      </c>
      <c r="K8" s="66">
        <v>31000</v>
      </c>
      <c r="L8" s="67">
        <f>SUM(J8:K8)</f>
        <v>2031000</v>
      </c>
      <c r="M8" s="64"/>
      <c r="N8" s="64">
        <v>31000</v>
      </c>
      <c r="O8" s="51">
        <f>SUM(M8:N8)</f>
        <v>31000</v>
      </c>
      <c r="P8" s="64"/>
      <c r="Q8" s="64"/>
      <c r="R8" s="51">
        <f>SUM(P8:Q8)</f>
        <v>0</v>
      </c>
      <c r="S8" s="72"/>
      <c r="T8" s="72"/>
      <c r="U8" s="72"/>
      <c r="V8" s="72"/>
      <c r="W8" s="72"/>
      <c r="X8" s="72"/>
    </row>
    <row r="9" spans="1:24" s="54" customFormat="1" ht="30" customHeight="1">
      <c r="A9" s="77" t="s">
        <v>105</v>
      </c>
      <c r="B9" s="108">
        <v>31</v>
      </c>
      <c r="C9" s="108">
        <v>12</v>
      </c>
      <c r="D9" s="108">
        <v>16</v>
      </c>
      <c r="E9" s="61" t="s">
        <v>5</v>
      </c>
      <c r="F9" s="76">
        <v>4319</v>
      </c>
      <c r="G9" s="81" t="s">
        <v>106</v>
      </c>
      <c r="H9" s="48" t="s">
        <v>107</v>
      </c>
      <c r="I9" s="86" t="s">
        <v>104</v>
      </c>
      <c r="J9" s="66">
        <v>250000</v>
      </c>
      <c r="K9" s="66">
        <v>9801.65</v>
      </c>
      <c r="L9" s="67">
        <f>SUM(J9:K9)</f>
        <v>259801.65</v>
      </c>
      <c r="M9" s="63"/>
      <c r="N9" s="64"/>
      <c r="O9" s="51">
        <f>SUM(M9:N9)</f>
        <v>0</v>
      </c>
      <c r="P9" s="63"/>
      <c r="Q9" s="64">
        <v>9801.65</v>
      </c>
      <c r="R9" s="51">
        <f>SUM(P9:Q9)</f>
        <v>9801.65</v>
      </c>
      <c r="S9" s="72"/>
      <c r="T9" s="72"/>
      <c r="U9" s="72"/>
      <c r="V9" s="72"/>
      <c r="W9" s="72"/>
      <c r="X9" s="72"/>
    </row>
    <row r="10" spans="1:24" s="54" customFormat="1" ht="30.75" customHeight="1" thickBot="1">
      <c r="A10" s="77" t="s">
        <v>108</v>
      </c>
      <c r="B10" s="108">
        <v>31</v>
      </c>
      <c r="C10" s="108">
        <v>12</v>
      </c>
      <c r="D10" s="108">
        <v>16</v>
      </c>
      <c r="E10" s="61" t="s">
        <v>5</v>
      </c>
      <c r="F10" s="76">
        <v>4320</v>
      </c>
      <c r="G10" s="81" t="s">
        <v>109</v>
      </c>
      <c r="H10" s="62" t="s">
        <v>110</v>
      </c>
      <c r="I10" s="88" t="s">
        <v>104</v>
      </c>
      <c r="J10" s="66">
        <v>350000</v>
      </c>
      <c r="K10" s="66">
        <v>34328.83</v>
      </c>
      <c r="L10" s="67">
        <f>SUM(J10:K10)</f>
        <v>384328.83</v>
      </c>
      <c r="M10" s="63"/>
      <c r="N10" s="64"/>
      <c r="O10" s="65">
        <f>SUM(M10:N10)</f>
        <v>0</v>
      </c>
      <c r="P10" s="63"/>
      <c r="Q10" s="64">
        <v>34328.83</v>
      </c>
      <c r="R10" s="65">
        <f>SUM(P10:Q10)</f>
        <v>34328.83</v>
      </c>
      <c r="S10" s="72"/>
      <c r="T10" s="72"/>
      <c r="U10" s="72"/>
      <c r="V10" s="72"/>
      <c r="W10" s="72"/>
      <c r="X10" s="72"/>
    </row>
    <row r="11" spans="1:24" ht="22.9" customHeight="1" thickBot="1">
      <c r="A11" s="34" t="s">
        <v>4</v>
      </c>
      <c r="B11" s="10"/>
      <c r="C11" s="10"/>
      <c r="D11" s="10"/>
      <c r="E11" s="11" t="s">
        <v>5</v>
      </c>
      <c r="F11" s="9"/>
      <c r="G11" s="82"/>
      <c r="H11" s="35"/>
      <c r="I11" s="30"/>
      <c r="J11" s="12">
        <f t="shared" ref="J11:O11" si="0">SUM(J6:J10)</f>
        <v>10136445.890000001</v>
      </c>
      <c r="K11" s="12">
        <f t="shared" si="0"/>
        <v>912961.28999999992</v>
      </c>
      <c r="L11" s="12">
        <f t="shared" si="0"/>
        <v>11049407.18</v>
      </c>
      <c r="M11" s="12">
        <f t="shared" si="0"/>
        <v>0</v>
      </c>
      <c r="N11" s="12">
        <f t="shared" si="0"/>
        <v>44524.06</v>
      </c>
      <c r="O11" s="12">
        <f t="shared" si="0"/>
        <v>44524.06</v>
      </c>
      <c r="P11" s="12">
        <f>SUM(P6:P10)</f>
        <v>0</v>
      </c>
      <c r="Q11" s="12">
        <f>SUM(Q6:Q10)</f>
        <v>44130.48</v>
      </c>
      <c r="R11" s="12">
        <f>SUM(R6:R10)</f>
        <v>44130.48</v>
      </c>
    </row>
    <row r="12" spans="1:24" s="54" customFormat="1" ht="33" customHeight="1">
      <c r="A12" s="103" t="s">
        <v>68</v>
      </c>
      <c r="B12" s="90">
        <v>30</v>
      </c>
      <c r="C12" s="90">
        <v>6</v>
      </c>
      <c r="D12" s="90">
        <v>16</v>
      </c>
      <c r="E12" s="47" t="s">
        <v>7</v>
      </c>
      <c r="F12" s="79">
        <v>3634</v>
      </c>
      <c r="G12" s="83" t="s">
        <v>83</v>
      </c>
      <c r="H12" s="55" t="s">
        <v>47</v>
      </c>
      <c r="I12" s="86" t="s">
        <v>64</v>
      </c>
      <c r="J12" s="53">
        <v>10855623.609999999</v>
      </c>
      <c r="K12" s="53">
        <v>109652.77</v>
      </c>
      <c r="L12" s="67">
        <f t="shared" ref="L12:L19" si="1">SUM(J12:K12)</f>
        <v>10965276.379999999</v>
      </c>
      <c r="M12" s="59"/>
      <c r="N12" s="56"/>
      <c r="O12" s="51">
        <f t="shared" ref="O12:O19" si="2">SUM(M12:N12)</f>
        <v>0</v>
      </c>
      <c r="P12" s="59">
        <f>109652.77-25000</f>
        <v>84652.77</v>
      </c>
      <c r="Q12" s="56">
        <v>25000</v>
      </c>
      <c r="R12" s="51">
        <f t="shared" ref="R12:R19" si="3">SUM(P12:Q12)</f>
        <v>109652.77</v>
      </c>
      <c r="S12" s="72"/>
      <c r="T12" s="72"/>
      <c r="U12" s="72"/>
      <c r="V12" s="72"/>
      <c r="W12" s="72"/>
      <c r="X12" s="72"/>
    </row>
    <row r="13" spans="1:24" s="54" customFormat="1" ht="33">
      <c r="A13" s="103" t="s">
        <v>34</v>
      </c>
      <c r="B13" s="143">
        <v>31</v>
      </c>
      <c r="C13" s="143">
        <v>12</v>
      </c>
      <c r="D13" s="143">
        <v>15</v>
      </c>
      <c r="E13" s="47" t="s">
        <v>7</v>
      </c>
      <c r="F13" s="75">
        <v>3900</v>
      </c>
      <c r="G13" s="80" t="s">
        <v>84</v>
      </c>
      <c r="H13" s="48" t="s">
        <v>27</v>
      </c>
      <c r="I13" s="53"/>
      <c r="J13" s="53">
        <v>2644230.6</v>
      </c>
      <c r="K13" s="53">
        <v>293994.81</v>
      </c>
      <c r="L13" s="67">
        <f t="shared" si="1"/>
        <v>2938225.41</v>
      </c>
      <c r="M13" s="49"/>
      <c r="N13" s="50">
        <f>3051.35</f>
        <v>3051.35</v>
      </c>
      <c r="O13" s="51">
        <f t="shared" si="2"/>
        <v>3051.35</v>
      </c>
      <c r="P13" s="49"/>
      <c r="Q13" s="50"/>
      <c r="R13" s="51">
        <f t="shared" si="3"/>
        <v>0</v>
      </c>
      <c r="S13" s="72"/>
      <c r="T13" s="72"/>
      <c r="U13" s="72"/>
      <c r="V13" s="72"/>
      <c r="W13" s="72"/>
      <c r="X13" s="72"/>
    </row>
    <row r="14" spans="1:24" s="54" customFormat="1" ht="76.5" customHeight="1">
      <c r="A14" s="77" t="s">
        <v>43</v>
      </c>
      <c r="B14" s="108">
        <v>20</v>
      </c>
      <c r="C14" s="108">
        <v>11</v>
      </c>
      <c r="D14" s="108">
        <v>16</v>
      </c>
      <c r="E14" s="61" t="s">
        <v>7</v>
      </c>
      <c r="F14" s="76">
        <v>4074</v>
      </c>
      <c r="G14" s="81" t="s">
        <v>85</v>
      </c>
      <c r="H14" s="62" t="s">
        <v>49</v>
      </c>
      <c r="I14" s="53"/>
      <c r="J14" s="66">
        <v>2921145</v>
      </c>
      <c r="K14" s="66">
        <v>216000</v>
      </c>
      <c r="L14" s="67">
        <f t="shared" si="1"/>
        <v>3137145</v>
      </c>
      <c r="M14" s="63"/>
      <c r="N14" s="64">
        <f>216000</f>
        <v>216000</v>
      </c>
      <c r="O14" s="51">
        <f t="shared" si="2"/>
        <v>216000</v>
      </c>
      <c r="P14" s="63"/>
      <c r="Q14" s="64"/>
      <c r="R14" s="51">
        <f t="shared" si="3"/>
        <v>0</v>
      </c>
      <c r="S14" s="72"/>
      <c r="T14" s="72"/>
      <c r="U14" s="72"/>
      <c r="V14" s="72"/>
      <c r="W14" s="72"/>
      <c r="X14" s="72"/>
    </row>
    <row r="15" spans="1:24" s="54" customFormat="1" ht="38.25">
      <c r="A15" s="77" t="s">
        <v>45</v>
      </c>
      <c r="B15" s="100">
        <v>2</v>
      </c>
      <c r="C15" s="100">
        <v>11</v>
      </c>
      <c r="D15" s="100">
        <v>15</v>
      </c>
      <c r="E15" s="61" t="s">
        <v>7</v>
      </c>
      <c r="F15" s="76">
        <v>4112</v>
      </c>
      <c r="G15" s="81" t="s">
        <v>86</v>
      </c>
      <c r="H15" s="62" t="s">
        <v>48</v>
      </c>
      <c r="I15" s="53"/>
      <c r="J15" s="66">
        <v>800000</v>
      </c>
      <c r="K15" s="66">
        <v>53239.519999999997</v>
      </c>
      <c r="L15" s="67">
        <f t="shared" si="1"/>
        <v>853239.52</v>
      </c>
      <c r="M15" s="63"/>
      <c r="N15" s="64">
        <f>53239.52</f>
        <v>53239.519999999997</v>
      </c>
      <c r="O15" s="51">
        <f t="shared" si="2"/>
        <v>53239.519999999997</v>
      </c>
      <c r="P15" s="63"/>
      <c r="Q15" s="64"/>
      <c r="R15" s="51">
        <f t="shared" si="3"/>
        <v>0</v>
      </c>
      <c r="S15" s="72"/>
      <c r="T15" s="72"/>
      <c r="U15" s="72"/>
      <c r="V15" s="72"/>
      <c r="W15" s="72"/>
      <c r="X15" s="72"/>
    </row>
    <row r="16" spans="1:24" s="54" customFormat="1" ht="33">
      <c r="A16" s="77" t="s">
        <v>69</v>
      </c>
      <c r="B16" s="108">
        <v>31</v>
      </c>
      <c r="C16" s="108">
        <v>7</v>
      </c>
      <c r="D16" s="108">
        <v>16</v>
      </c>
      <c r="E16" s="61" t="s">
        <v>7</v>
      </c>
      <c r="F16" s="76">
        <v>4207</v>
      </c>
      <c r="G16" s="81" t="s">
        <v>87</v>
      </c>
      <c r="H16" s="62" t="s">
        <v>60</v>
      </c>
      <c r="I16" s="53"/>
      <c r="J16" s="66">
        <v>300000</v>
      </c>
      <c r="K16" s="66">
        <v>16695.63</v>
      </c>
      <c r="L16" s="67">
        <f t="shared" si="1"/>
        <v>316695.63</v>
      </c>
      <c r="M16" s="64"/>
      <c r="N16" s="64">
        <f>16695.63</f>
        <v>16695.63</v>
      </c>
      <c r="O16" s="51">
        <f t="shared" si="2"/>
        <v>16695.63</v>
      </c>
      <c r="P16" s="64"/>
      <c r="Q16" s="64"/>
      <c r="R16" s="51">
        <f t="shared" si="3"/>
        <v>0</v>
      </c>
      <c r="S16" s="72"/>
      <c r="T16" s="72"/>
      <c r="U16" s="72"/>
      <c r="V16" s="72"/>
      <c r="W16" s="72"/>
      <c r="X16" s="72"/>
    </row>
    <row r="17" spans="1:24" s="54" customFormat="1" ht="44.25" customHeight="1">
      <c r="A17" s="77" t="s">
        <v>70</v>
      </c>
      <c r="B17" s="100">
        <v>4</v>
      </c>
      <c r="C17" s="100">
        <v>5</v>
      </c>
      <c r="D17" s="100">
        <v>16</v>
      </c>
      <c r="E17" s="61" t="s">
        <v>7</v>
      </c>
      <c r="F17" s="76">
        <v>4208</v>
      </c>
      <c r="G17" s="81" t="s">
        <v>88</v>
      </c>
      <c r="H17" s="62" t="s">
        <v>67</v>
      </c>
      <c r="I17" s="66"/>
      <c r="J17" s="66">
        <v>150000</v>
      </c>
      <c r="K17" s="66">
        <v>8420.2900000000009</v>
      </c>
      <c r="L17" s="67">
        <f t="shared" si="1"/>
        <v>158420.29</v>
      </c>
      <c r="M17" s="64"/>
      <c r="N17" s="64">
        <f>8420.29</f>
        <v>8420.2900000000009</v>
      </c>
      <c r="O17" s="51">
        <f t="shared" si="2"/>
        <v>8420.2900000000009</v>
      </c>
      <c r="P17" s="64"/>
      <c r="Q17" s="64"/>
      <c r="R17" s="51">
        <f t="shared" si="3"/>
        <v>0</v>
      </c>
      <c r="S17" s="72"/>
      <c r="T17" s="72"/>
      <c r="U17" s="72"/>
      <c r="V17" s="72"/>
      <c r="W17" s="72"/>
      <c r="X17" s="72"/>
    </row>
    <row r="18" spans="1:24" s="54" customFormat="1" ht="120">
      <c r="A18" s="77" t="s">
        <v>71</v>
      </c>
      <c r="B18" s="108">
        <v>29</v>
      </c>
      <c r="C18" s="108">
        <v>7</v>
      </c>
      <c r="D18" s="108">
        <v>16</v>
      </c>
      <c r="E18" s="61" t="s">
        <v>7</v>
      </c>
      <c r="F18" s="76">
        <v>4257</v>
      </c>
      <c r="G18" s="81" t="s">
        <v>89</v>
      </c>
      <c r="H18" s="62" t="s">
        <v>66</v>
      </c>
      <c r="I18" s="89" t="s">
        <v>141</v>
      </c>
      <c r="J18" s="96">
        <v>100000</v>
      </c>
      <c r="K18" s="96">
        <v>11000</v>
      </c>
      <c r="L18" s="67">
        <f t="shared" si="1"/>
        <v>111000</v>
      </c>
      <c r="M18" s="64"/>
      <c r="N18" s="64">
        <v>11000</v>
      </c>
      <c r="O18" s="51">
        <f t="shared" si="2"/>
        <v>11000</v>
      </c>
      <c r="P18" s="64"/>
      <c r="Q18" s="64"/>
      <c r="R18" s="51">
        <f t="shared" si="3"/>
        <v>0</v>
      </c>
    </row>
    <row r="19" spans="1:24" s="54" customFormat="1" ht="44.25" customHeight="1" thickBot="1">
      <c r="A19" s="77" t="s">
        <v>112</v>
      </c>
      <c r="B19" s="108">
        <v>10</v>
      </c>
      <c r="C19" s="108">
        <v>12</v>
      </c>
      <c r="D19" s="108">
        <v>16</v>
      </c>
      <c r="E19" s="61" t="s">
        <v>7</v>
      </c>
      <c r="F19" s="76">
        <v>4318</v>
      </c>
      <c r="G19" s="81" t="s">
        <v>113</v>
      </c>
      <c r="H19" s="62" t="s">
        <v>111</v>
      </c>
      <c r="I19" s="86" t="s">
        <v>104</v>
      </c>
      <c r="J19" s="66">
        <v>150000</v>
      </c>
      <c r="K19" s="66">
        <v>34699.800000000003</v>
      </c>
      <c r="L19" s="67">
        <f t="shared" si="1"/>
        <v>184699.8</v>
      </c>
      <c r="M19" s="64"/>
      <c r="N19" s="64"/>
      <c r="O19" s="51">
        <f t="shared" si="2"/>
        <v>0</v>
      </c>
      <c r="P19" s="64"/>
      <c r="Q19" s="64">
        <v>34699.800000000003</v>
      </c>
      <c r="R19" s="51">
        <f t="shared" si="3"/>
        <v>34699.800000000003</v>
      </c>
      <c r="S19" s="72"/>
      <c r="T19" s="72"/>
      <c r="U19" s="72"/>
      <c r="V19" s="72"/>
      <c r="W19" s="72"/>
      <c r="X19" s="72"/>
    </row>
    <row r="20" spans="1:24" ht="22.9" customHeight="1" thickBot="1">
      <c r="A20" s="42" t="s">
        <v>4</v>
      </c>
      <c r="B20" s="10"/>
      <c r="C20" s="10"/>
      <c r="D20" s="10"/>
      <c r="E20" s="11" t="s">
        <v>7</v>
      </c>
      <c r="F20" s="9"/>
      <c r="G20" s="82"/>
      <c r="H20" s="35"/>
      <c r="I20" s="30"/>
      <c r="J20" s="12">
        <f t="shared" ref="J20:R20" si="4">SUM(J12:J19)</f>
        <v>17920999.210000001</v>
      </c>
      <c r="K20" s="12">
        <f t="shared" si="4"/>
        <v>743702.82000000018</v>
      </c>
      <c r="L20" s="12">
        <f t="shared" si="4"/>
        <v>18664702.029999997</v>
      </c>
      <c r="M20" s="12">
        <f t="shared" si="4"/>
        <v>0</v>
      </c>
      <c r="N20" s="12">
        <f t="shared" si="4"/>
        <v>308406.78999999998</v>
      </c>
      <c r="O20" s="12">
        <f t="shared" si="4"/>
        <v>308406.78999999998</v>
      </c>
      <c r="P20" s="12">
        <f t="shared" si="4"/>
        <v>84652.77</v>
      </c>
      <c r="Q20" s="12">
        <f t="shared" si="4"/>
        <v>59699.8</v>
      </c>
      <c r="R20" s="12">
        <f t="shared" si="4"/>
        <v>144352.57</v>
      </c>
    </row>
    <row r="21" spans="1:24" s="54" customFormat="1" ht="33.75" customHeight="1" thickBot="1">
      <c r="A21" s="102" t="s">
        <v>72</v>
      </c>
      <c r="B21" s="109">
        <v>23</v>
      </c>
      <c r="C21" s="109">
        <v>10</v>
      </c>
      <c r="D21" s="109">
        <v>16</v>
      </c>
      <c r="E21" s="47" t="s">
        <v>51</v>
      </c>
      <c r="F21" s="75">
        <v>4202</v>
      </c>
      <c r="G21" s="80" t="s">
        <v>95</v>
      </c>
      <c r="H21" s="48" t="s">
        <v>59</v>
      </c>
      <c r="I21" s="86" t="s">
        <v>22</v>
      </c>
      <c r="J21" s="53">
        <v>250000</v>
      </c>
      <c r="K21" s="53">
        <v>27057.56</v>
      </c>
      <c r="L21" s="67">
        <f>SUM(J21:K21)</f>
        <v>277057.56</v>
      </c>
      <c r="M21" s="50"/>
      <c r="N21" s="50"/>
      <c r="O21" s="51">
        <f>SUM(M21:N21)</f>
        <v>0</v>
      </c>
      <c r="P21" s="50">
        <f>27057.56</f>
        <v>27057.56</v>
      </c>
      <c r="Q21" s="50"/>
      <c r="R21" s="51">
        <f>SUM(P21:Q21)</f>
        <v>27057.56</v>
      </c>
      <c r="S21" s="72"/>
      <c r="T21" s="72"/>
      <c r="U21" s="72"/>
      <c r="V21" s="72"/>
      <c r="W21" s="72"/>
      <c r="X21" s="72"/>
    </row>
    <row r="22" spans="1:24" ht="22.9" customHeight="1" thickBot="1">
      <c r="A22" s="34" t="s">
        <v>4</v>
      </c>
      <c r="B22" s="10"/>
      <c r="C22" s="10"/>
      <c r="D22" s="10"/>
      <c r="E22" s="11" t="s">
        <v>51</v>
      </c>
      <c r="F22" s="12"/>
      <c r="G22" s="84"/>
      <c r="H22" s="36"/>
      <c r="I22" s="30"/>
      <c r="J22" s="26">
        <f t="shared" ref="J22:O22" si="5">SUM(J21)</f>
        <v>250000</v>
      </c>
      <c r="K22" s="26">
        <f t="shared" si="5"/>
        <v>27057.56</v>
      </c>
      <c r="L22" s="26">
        <f t="shared" si="5"/>
        <v>277057.56</v>
      </c>
      <c r="M22" s="26">
        <f t="shared" si="5"/>
        <v>0</v>
      </c>
      <c r="N22" s="26">
        <f t="shared" si="5"/>
        <v>0</v>
      </c>
      <c r="O22" s="26">
        <f t="shared" si="5"/>
        <v>0</v>
      </c>
      <c r="P22" s="26">
        <f>SUM(P21)</f>
        <v>27057.56</v>
      </c>
      <c r="Q22" s="26">
        <f>SUM(Q21)</f>
        <v>0</v>
      </c>
      <c r="R22" s="26">
        <f>SUM(R21)</f>
        <v>27057.56</v>
      </c>
    </row>
    <row r="23" spans="1:24" s="54" customFormat="1" ht="31.5" customHeight="1">
      <c r="A23" s="103" t="s">
        <v>44</v>
      </c>
      <c r="B23" s="143">
        <v>31</v>
      </c>
      <c r="C23" s="143">
        <v>12</v>
      </c>
      <c r="D23" s="143">
        <v>15</v>
      </c>
      <c r="E23" s="47" t="s">
        <v>145</v>
      </c>
      <c r="F23" s="79">
        <v>4035</v>
      </c>
      <c r="G23" s="83" t="s">
        <v>96</v>
      </c>
      <c r="H23" s="55" t="s">
        <v>40</v>
      </c>
      <c r="I23" s="53"/>
      <c r="J23" s="53">
        <v>500000</v>
      </c>
      <c r="K23" s="53">
        <v>50000</v>
      </c>
      <c r="L23" s="67">
        <f>SUM(J23:K23)</f>
        <v>550000</v>
      </c>
      <c r="M23" s="56">
        <f>50000</f>
        <v>50000</v>
      </c>
      <c r="N23" s="56"/>
      <c r="O23" s="51">
        <f>SUM(M23:N23)</f>
        <v>50000</v>
      </c>
      <c r="P23" s="56"/>
      <c r="Q23" s="56"/>
      <c r="R23" s="51">
        <f>SUM(P23:Q23)</f>
        <v>0</v>
      </c>
      <c r="S23" s="72"/>
      <c r="T23" s="72"/>
      <c r="U23" s="72"/>
      <c r="V23" s="72"/>
      <c r="W23" s="72"/>
      <c r="X23" s="72"/>
    </row>
    <row r="24" spans="1:24" s="54" customFormat="1" ht="31.5" customHeight="1">
      <c r="A24" s="103" t="s">
        <v>46</v>
      </c>
      <c r="B24" s="143">
        <v>31</v>
      </c>
      <c r="C24" s="143">
        <v>12</v>
      </c>
      <c r="D24" s="143">
        <v>15</v>
      </c>
      <c r="E24" s="47" t="s">
        <v>6</v>
      </c>
      <c r="F24" s="79">
        <v>4134</v>
      </c>
      <c r="G24" s="83" t="s">
        <v>97</v>
      </c>
      <c r="H24" s="55" t="s">
        <v>40</v>
      </c>
      <c r="I24" s="53"/>
      <c r="J24" s="53">
        <v>550000</v>
      </c>
      <c r="K24" s="53">
        <v>55000</v>
      </c>
      <c r="L24" s="67">
        <f>SUM(J24:K24)</f>
        <v>605000</v>
      </c>
      <c r="M24" s="56">
        <f>55000</f>
        <v>55000</v>
      </c>
      <c r="N24" s="56"/>
      <c r="O24" s="65">
        <f>SUM(M24:N24)</f>
        <v>55000</v>
      </c>
      <c r="P24" s="56"/>
      <c r="Q24" s="56"/>
      <c r="R24" s="65">
        <f>SUM(P24:Q24)</f>
        <v>0</v>
      </c>
      <c r="S24" s="72"/>
      <c r="T24" s="72"/>
      <c r="U24" s="72"/>
      <c r="V24" s="72"/>
      <c r="W24" s="72"/>
      <c r="X24" s="72"/>
    </row>
    <row r="25" spans="1:24" s="54" customFormat="1" ht="33.75" customHeight="1" thickBot="1">
      <c r="A25" s="103" t="s">
        <v>126</v>
      </c>
      <c r="B25" s="109">
        <v>30</v>
      </c>
      <c r="C25" s="109">
        <v>12</v>
      </c>
      <c r="D25" s="109">
        <v>16</v>
      </c>
      <c r="E25" s="47" t="s">
        <v>6</v>
      </c>
      <c r="F25" s="79">
        <v>4363</v>
      </c>
      <c r="G25" s="83"/>
      <c r="H25" s="55" t="s">
        <v>127</v>
      </c>
      <c r="I25" s="86" t="s">
        <v>128</v>
      </c>
      <c r="J25" s="53">
        <f>660070</f>
        <v>660070</v>
      </c>
      <c r="K25" s="53">
        <v>660.73</v>
      </c>
      <c r="L25" s="67">
        <f>SUM(J25:K25)</f>
        <v>660730.73</v>
      </c>
      <c r="M25" s="56">
        <f>660.73</f>
        <v>660.73</v>
      </c>
      <c r="N25" s="56"/>
      <c r="O25" s="51">
        <f>SUM(M25:N25)</f>
        <v>660.73</v>
      </c>
      <c r="P25" s="56"/>
      <c r="Q25" s="56"/>
      <c r="R25" s="51">
        <f>SUM(P25:Q25)</f>
        <v>0</v>
      </c>
      <c r="S25" s="72"/>
      <c r="T25" s="72"/>
      <c r="U25" s="72"/>
      <c r="V25" s="72"/>
      <c r="W25" s="72"/>
      <c r="X25" s="72"/>
    </row>
    <row r="26" spans="1:24" ht="22.9" customHeight="1" thickBot="1">
      <c r="A26" s="34" t="s">
        <v>4</v>
      </c>
      <c r="B26" s="10"/>
      <c r="C26" s="10"/>
      <c r="D26" s="10"/>
      <c r="E26" s="11" t="s">
        <v>6</v>
      </c>
      <c r="F26" s="13"/>
      <c r="G26" s="85"/>
      <c r="H26" s="37"/>
      <c r="I26" s="30"/>
      <c r="J26" s="12">
        <f t="shared" ref="J26:O26" si="6">SUM(J23:J25)</f>
        <v>1710070</v>
      </c>
      <c r="K26" s="12">
        <f t="shared" si="6"/>
        <v>105660.73</v>
      </c>
      <c r="L26" s="12">
        <f t="shared" si="6"/>
        <v>1815730.73</v>
      </c>
      <c r="M26" s="12">
        <f t="shared" si="6"/>
        <v>105660.73</v>
      </c>
      <c r="N26" s="12">
        <f t="shared" si="6"/>
        <v>0</v>
      </c>
      <c r="O26" s="12">
        <f t="shared" si="6"/>
        <v>105660.73</v>
      </c>
      <c r="P26" s="12">
        <f>SUM(P23:P25)</f>
        <v>0</v>
      </c>
      <c r="Q26" s="12">
        <f>SUM(Q23:Q25)</f>
        <v>0</v>
      </c>
      <c r="R26" s="12">
        <f>SUM(R23:R25)</f>
        <v>0</v>
      </c>
    </row>
    <row r="27" spans="1:24" s="54" customFormat="1" ht="33.75" thickBot="1">
      <c r="A27" s="104" t="s">
        <v>35</v>
      </c>
      <c r="B27" s="144">
        <v>31</v>
      </c>
      <c r="C27" s="144">
        <v>12</v>
      </c>
      <c r="D27" s="144">
        <v>15</v>
      </c>
      <c r="E27" s="91" t="s">
        <v>8</v>
      </c>
      <c r="F27" s="92">
        <v>3777</v>
      </c>
      <c r="G27" s="93" t="s">
        <v>98</v>
      </c>
      <c r="H27" s="94" t="s">
        <v>28</v>
      </c>
      <c r="I27" s="95"/>
      <c r="J27" s="97">
        <v>240000</v>
      </c>
      <c r="K27" s="97">
        <v>2424.25</v>
      </c>
      <c r="L27" s="67">
        <f>SUM(J27:K27)</f>
        <v>242424.25</v>
      </c>
      <c r="M27" s="68">
        <v>0</v>
      </c>
      <c r="N27" s="49"/>
      <c r="O27" s="51">
        <f>SUM(M27:N27)</f>
        <v>0</v>
      </c>
      <c r="P27" s="68">
        <v>0</v>
      </c>
      <c r="Q27" s="49"/>
      <c r="R27" s="51">
        <f>SUM(P27:Q27)</f>
        <v>0</v>
      </c>
      <c r="S27" s="72"/>
      <c r="T27" s="72"/>
      <c r="U27" s="72"/>
      <c r="V27" s="72"/>
      <c r="W27" s="72"/>
      <c r="X27" s="72"/>
    </row>
    <row r="28" spans="1:24" ht="22.9" customHeight="1" thickBot="1">
      <c r="A28" s="42" t="s">
        <v>4</v>
      </c>
      <c r="B28" s="10"/>
      <c r="C28" s="10"/>
      <c r="D28" s="10"/>
      <c r="E28" s="11" t="s">
        <v>8</v>
      </c>
      <c r="F28" s="12"/>
      <c r="G28" s="84"/>
      <c r="H28" s="36"/>
      <c r="I28" s="30"/>
      <c r="J28" s="12">
        <f t="shared" ref="J28:O28" si="7">SUM(J27:J27)</f>
        <v>240000</v>
      </c>
      <c r="K28" s="12">
        <f t="shared" si="7"/>
        <v>2424.25</v>
      </c>
      <c r="L28" s="12">
        <f t="shared" si="7"/>
        <v>242424.25</v>
      </c>
      <c r="M28" s="12">
        <f t="shared" si="7"/>
        <v>0</v>
      </c>
      <c r="N28" s="12">
        <f t="shared" si="7"/>
        <v>0</v>
      </c>
      <c r="O28" s="12">
        <f t="shared" si="7"/>
        <v>0</v>
      </c>
      <c r="P28" s="12">
        <f>SUM(P27:P27)</f>
        <v>0</v>
      </c>
      <c r="Q28" s="12">
        <f>SUM(Q27:Q27)</f>
        <v>0</v>
      </c>
      <c r="R28" s="12">
        <f>SUM(R27:R27)</f>
        <v>0</v>
      </c>
    </row>
    <row r="29" spans="1:24" s="54" customFormat="1" ht="127.5" customHeight="1">
      <c r="A29" s="102" t="s">
        <v>30</v>
      </c>
      <c r="B29" s="109">
        <v>15</v>
      </c>
      <c r="C29" s="109">
        <v>10</v>
      </c>
      <c r="D29" s="109">
        <v>16</v>
      </c>
      <c r="E29" s="47" t="s">
        <v>15</v>
      </c>
      <c r="F29" s="75">
        <f>3964</f>
        <v>3964</v>
      </c>
      <c r="G29" s="80" t="s">
        <v>99</v>
      </c>
      <c r="H29" s="48" t="s">
        <v>29</v>
      </c>
      <c r="I29" s="53"/>
      <c r="J29" s="53">
        <v>1408435.58</v>
      </c>
      <c r="K29" s="53">
        <v>15439</v>
      </c>
      <c r="L29" s="67">
        <f>SUM(J29:K29)</f>
        <v>1423874.58</v>
      </c>
      <c r="M29" s="50">
        <f>15439</f>
        <v>15439</v>
      </c>
      <c r="N29" s="50"/>
      <c r="O29" s="51">
        <f>SUM(M29:N29)</f>
        <v>15439</v>
      </c>
      <c r="P29" s="50"/>
      <c r="Q29" s="50"/>
      <c r="R29" s="51">
        <f>SUM(P29:Q29)</f>
        <v>0</v>
      </c>
      <c r="S29" s="72"/>
      <c r="T29" s="72"/>
      <c r="U29" s="72"/>
      <c r="V29" s="72"/>
      <c r="W29" s="72"/>
      <c r="X29" s="72"/>
    </row>
    <row r="30" spans="1:24" s="54" customFormat="1" ht="63.75" customHeight="1">
      <c r="A30" s="77" t="s">
        <v>38</v>
      </c>
      <c r="B30" s="108">
        <v>21</v>
      </c>
      <c r="C30" s="108">
        <v>12</v>
      </c>
      <c r="D30" s="108">
        <v>16</v>
      </c>
      <c r="E30" s="61" t="s">
        <v>15</v>
      </c>
      <c r="F30" s="76">
        <v>4003</v>
      </c>
      <c r="G30" s="81" t="s">
        <v>100</v>
      </c>
      <c r="H30" s="62" t="s">
        <v>37</v>
      </c>
      <c r="I30" s="53"/>
      <c r="J30" s="66">
        <v>562455.87</v>
      </c>
      <c r="K30" s="66">
        <v>5681.37</v>
      </c>
      <c r="L30" s="67">
        <f>SUM(J30:K30)</f>
        <v>568137.24</v>
      </c>
      <c r="M30" s="64">
        <f>5681.37</f>
        <v>5681.37</v>
      </c>
      <c r="N30" s="64"/>
      <c r="O30" s="65">
        <f>SUM(M30:N30)</f>
        <v>5681.37</v>
      </c>
      <c r="P30" s="64"/>
      <c r="Q30" s="64"/>
      <c r="R30" s="65">
        <f>SUM(P30:Q30)</f>
        <v>0</v>
      </c>
      <c r="S30" s="72"/>
      <c r="T30" s="72"/>
      <c r="U30" s="72"/>
      <c r="V30" s="72"/>
      <c r="W30" s="72"/>
      <c r="X30" s="72"/>
    </row>
    <row r="31" spans="1:24" s="54" customFormat="1" ht="89.25" customHeight="1">
      <c r="A31" s="77" t="s">
        <v>52</v>
      </c>
      <c r="B31" s="107">
        <v>31</v>
      </c>
      <c r="C31" s="107">
        <v>12</v>
      </c>
      <c r="D31" s="107">
        <v>16</v>
      </c>
      <c r="E31" s="61" t="s">
        <v>15</v>
      </c>
      <c r="F31" s="76">
        <v>4166</v>
      </c>
      <c r="G31" s="81" t="s">
        <v>101</v>
      </c>
      <c r="H31" s="62" t="s">
        <v>62</v>
      </c>
      <c r="I31" s="53"/>
      <c r="J31" s="66">
        <v>112352.8</v>
      </c>
      <c r="K31" s="66">
        <v>1200</v>
      </c>
      <c r="L31" s="67">
        <f>SUM(J31:K31)</f>
        <v>113552.8</v>
      </c>
      <c r="M31" s="64">
        <f>1200</f>
        <v>1200</v>
      </c>
      <c r="N31" s="64"/>
      <c r="O31" s="65">
        <f>SUM(M31:N31)</f>
        <v>1200</v>
      </c>
      <c r="P31" s="64"/>
      <c r="Q31" s="64"/>
      <c r="R31" s="65">
        <f>SUM(P31:Q31)</f>
        <v>0</v>
      </c>
      <c r="S31" s="72"/>
      <c r="T31" s="72"/>
      <c r="U31" s="72"/>
      <c r="V31" s="72"/>
      <c r="W31" s="72"/>
      <c r="X31" s="72"/>
    </row>
    <row r="32" spans="1:24" s="54" customFormat="1" ht="76.5" customHeight="1">
      <c r="A32" s="77" t="s">
        <v>73</v>
      </c>
      <c r="B32" s="108">
        <v>29</v>
      </c>
      <c r="C32" s="108">
        <v>7</v>
      </c>
      <c r="D32" s="108">
        <v>16</v>
      </c>
      <c r="E32" s="61" t="s">
        <v>15</v>
      </c>
      <c r="F32" s="76">
        <v>4255</v>
      </c>
      <c r="G32" s="81" t="s">
        <v>102</v>
      </c>
      <c r="H32" s="62" t="s">
        <v>75</v>
      </c>
      <c r="I32" s="66"/>
      <c r="J32" s="66">
        <v>1533629.68</v>
      </c>
      <c r="K32" s="66">
        <v>22600</v>
      </c>
      <c r="L32" s="67">
        <f>SUM(J32:K32)</f>
        <v>1556229.68</v>
      </c>
      <c r="M32" s="64">
        <f>22600</f>
        <v>22600</v>
      </c>
      <c r="N32" s="64"/>
      <c r="O32" s="51">
        <f>SUM(M32:N32)</f>
        <v>22600</v>
      </c>
      <c r="P32" s="64"/>
      <c r="Q32" s="64"/>
      <c r="R32" s="51">
        <f>SUM(P32:Q32)</f>
        <v>0</v>
      </c>
    </row>
    <row r="33" spans="1:18" s="54" customFormat="1" ht="77.25" customHeight="1" thickBot="1">
      <c r="A33" s="77" t="s">
        <v>74</v>
      </c>
      <c r="B33" s="108">
        <v>29</v>
      </c>
      <c r="C33" s="108">
        <v>7</v>
      </c>
      <c r="D33" s="108">
        <v>16</v>
      </c>
      <c r="E33" s="61" t="s">
        <v>15</v>
      </c>
      <c r="F33" s="76">
        <v>4256</v>
      </c>
      <c r="G33" s="81" t="s">
        <v>103</v>
      </c>
      <c r="H33" s="62" t="s">
        <v>75</v>
      </c>
      <c r="I33" s="86" t="s">
        <v>115</v>
      </c>
      <c r="J33" s="66">
        <f>939428.9-16450</f>
        <v>922978.9</v>
      </c>
      <c r="K33" s="66">
        <v>16450</v>
      </c>
      <c r="L33" s="67">
        <f>SUM(J33:K33)</f>
        <v>939428.9</v>
      </c>
      <c r="M33" s="64"/>
      <c r="N33" s="64">
        <v>16450</v>
      </c>
      <c r="O33" s="51">
        <f>SUM(M33:N33)</f>
        <v>16450</v>
      </c>
      <c r="P33" s="64"/>
      <c r="Q33" s="64"/>
      <c r="R33" s="51">
        <f>SUM(P33:Q33)</f>
        <v>0</v>
      </c>
    </row>
    <row r="34" spans="1:18" ht="22.9" customHeight="1">
      <c r="A34" s="43" t="s">
        <v>4</v>
      </c>
      <c r="B34" s="15"/>
      <c r="C34" s="15"/>
      <c r="D34" s="15"/>
      <c r="E34" s="14" t="s">
        <v>15</v>
      </c>
      <c r="F34" s="16"/>
      <c r="G34" s="16"/>
      <c r="H34" s="38"/>
      <c r="I34" s="31"/>
      <c r="J34" s="17">
        <f t="shared" ref="J34:O34" si="8">SUM(J29:J33)</f>
        <v>4539852.83</v>
      </c>
      <c r="K34" s="17">
        <f t="shared" si="8"/>
        <v>61370.369999999995</v>
      </c>
      <c r="L34" s="17">
        <f t="shared" si="8"/>
        <v>4601223.2</v>
      </c>
      <c r="M34" s="17">
        <f t="shared" si="8"/>
        <v>44920.369999999995</v>
      </c>
      <c r="N34" s="17">
        <f t="shared" si="8"/>
        <v>16450</v>
      </c>
      <c r="O34" s="17">
        <f t="shared" si="8"/>
        <v>61370.369999999995</v>
      </c>
      <c r="P34" s="17">
        <f>SUM(P29:P33)</f>
        <v>0</v>
      </c>
      <c r="Q34" s="17">
        <f>SUM(Q29:Q33)</f>
        <v>0</v>
      </c>
      <c r="R34" s="17">
        <f>SUM(R29:R33)</f>
        <v>0</v>
      </c>
    </row>
    <row r="35" spans="1:18" ht="22.9" customHeight="1" thickBot="1">
      <c r="A35" s="44" t="s">
        <v>4</v>
      </c>
      <c r="B35" s="23"/>
      <c r="C35" s="23"/>
      <c r="D35" s="23"/>
      <c r="E35" s="22" t="s">
        <v>17</v>
      </c>
      <c r="F35" s="24"/>
      <c r="G35" s="24"/>
      <c r="H35" s="39"/>
      <c r="I35" s="32"/>
      <c r="J35" s="25">
        <f t="shared" ref="J35:R35" si="9">J11+J20+J26+J28+J34+J22</f>
        <v>34797367.93</v>
      </c>
      <c r="K35" s="25">
        <f t="shared" si="9"/>
        <v>1853177.02</v>
      </c>
      <c r="L35" s="25">
        <f t="shared" si="9"/>
        <v>36650544.950000003</v>
      </c>
      <c r="M35" s="25">
        <f t="shared" si="9"/>
        <v>150581.09999999998</v>
      </c>
      <c r="N35" s="25">
        <f t="shared" si="9"/>
        <v>369380.85</v>
      </c>
      <c r="O35" s="25">
        <f t="shared" si="9"/>
        <v>519961.94999999995</v>
      </c>
      <c r="P35" s="25">
        <f t="shared" si="9"/>
        <v>111710.33</v>
      </c>
      <c r="Q35" s="25">
        <f t="shared" si="9"/>
        <v>103830.28</v>
      </c>
      <c r="R35" s="25">
        <f t="shared" si="9"/>
        <v>215540.61000000002</v>
      </c>
    </row>
    <row r="37" spans="1:18">
      <c r="P37" s="112">
        <f>P35+M35</f>
        <v>262291.43</v>
      </c>
      <c r="Q37" s="112">
        <f>Q35+N35</f>
        <v>473211.13</v>
      </c>
    </row>
  </sheetData>
  <autoFilter ref="A5:O35"/>
  <mergeCells count="13">
    <mergeCell ref="P4:R4"/>
    <mergeCell ref="M3:R3"/>
    <mergeCell ref="M4:O4"/>
    <mergeCell ref="A1:L1"/>
    <mergeCell ref="A2:O2"/>
    <mergeCell ref="A3:A5"/>
    <mergeCell ref="B3:D4"/>
    <mergeCell ref="E3:E5"/>
    <mergeCell ref="F3:F5"/>
    <mergeCell ref="G3:G5"/>
    <mergeCell ref="H3:H5"/>
    <mergeCell ref="I3:I5"/>
    <mergeCell ref="J3:L4"/>
  </mergeCells>
  <pageMargins left="0.39370078740157483" right="0.62992125984251968" top="0.23622047244094491" bottom="0.23622047244094491" header="0" footer="0"/>
  <pageSetup paperSize="9" scale="55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Em execução</vt:lpstr>
      <vt:lpstr>Em execução (PF)</vt:lpstr>
      <vt:lpstr>Devolução</vt:lpstr>
      <vt:lpstr>Resumo</vt:lpstr>
      <vt:lpstr>Resumo Contrapartida</vt:lpstr>
      <vt:lpstr>CONTRAPARTIDA</vt:lpstr>
      <vt:lpstr>CONTRAPARTIDA!Titulos_de_impressao</vt:lpstr>
      <vt:lpstr>Devolução!Titulos_de_impressao</vt:lpstr>
      <vt:lpstr>'Em execução'!Titulos_de_impressao</vt:lpstr>
      <vt:lpstr>'Em execução (PF)'!Titulos_de_impressao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</dc:creator>
  <cp:lastModifiedBy>07803613420</cp:lastModifiedBy>
  <cp:lastPrinted>2016-09-21T13:39:03Z</cp:lastPrinted>
  <dcterms:created xsi:type="dcterms:W3CDTF">2012-01-30T16:14:17Z</dcterms:created>
  <dcterms:modified xsi:type="dcterms:W3CDTF">2016-11-23T11:54:35Z</dcterms:modified>
</cp:coreProperties>
</file>