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451" activeTab="3"/>
  </bookViews>
  <sheets>
    <sheet name="SETUR - 1º tri" sheetId="1" r:id="rId1"/>
    <sheet name="SETUR - 2º tri" sheetId="2" r:id="rId2"/>
    <sheet name="SETUR - 3º tri" sheetId="3" r:id="rId3"/>
    <sheet name="SETUR - 4º tri" sheetId="4" r:id="rId4"/>
  </sheets>
  <definedNames>
    <definedName name="_xlnm.Print_Area" localSheetId="0">'SETUR - 1º tri'!$A$1:$V$69</definedName>
    <definedName name="_xlnm.Print_Titles" localSheetId="0">'SETUR - 1º tri'!$1:$13</definedName>
  </definedNames>
  <calcPr fullCalcOnLoad="1"/>
</workbook>
</file>

<file path=xl/sharedStrings.xml><?xml version="1.0" encoding="utf-8"?>
<sst xmlns="http://schemas.openxmlformats.org/spreadsheetml/2006/main" count="3113" uniqueCount="445">
  <si>
    <t>ESTADO DE PERNAMBUCO</t>
  </si>
  <si>
    <t>TRIBUNAL DE CONTAS</t>
  </si>
  <si>
    <t>UNIDADE: (1)</t>
  </si>
  <si>
    <t>EXERCÍCIO: (2)</t>
  </si>
  <si>
    <t>UNIDADE ORÇAMENTÁRIA: (3)</t>
  </si>
  <si>
    <t>SETUR</t>
  </si>
  <si>
    <t>PERÍODO: (4)</t>
  </si>
  <si>
    <t>OBRA OU SERVIÇO</t>
  </si>
  <si>
    <t>DESPESAS DO EXERCÍCIO</t>
  </si>
  <si>
    <t>VALOR PAGO ACUMULADO NA OBRA OU SERVIÇO</t>
  </si>
  <si>
    <t>SITUAÇÃO</t>
  </si>
  <si>
    <t>MODALIDADE / Nº DE LICITAÇÃO</t>
  </si>
  <si>
    <t>IDENTIFICAÇÃO DA OBRA, SERVIÇO OU AQUISIÇÃO</t>
  </si>
  <si>
    <t>CONTRATO DE REPASSE / CONVÊNIO</t>
  </si>
  <si>
    <t>CONTRATADO</t>
  </si>
  <si>
    <t>CONTRATO</t>
  </si>
  <si>
    <t>ADITIVO</t>
  </si>
  <si>
    <t>NATUREZA DA DESPESA</t>
  </si>
  <si>
    <t>VALOR MEDIDO ACUMULADO</t>
  </si>
  <si>
    <t>VALOR PAGO ACUMULADO NO PERÍODO</t>
  </si>
  <si>
    <t>VALOR PAGO ACUMULADO NO EXERCÍCIO</t>
  </si>
  <si>
    <t>Nº</t>
  </si>
  <si>
    <t>CONCEDENTE</t>
  </si>
  <si>
    <t>REPASSE</t>
  </si>
  <si>
    <t>CONTRAPARTIDA</t>
  </si>
  <si>
    <t>CNPJ/CPF</t>
  </si>
  <si>
    <t>RAZÃO SOCIAL</t>
  </si>
  <si>
    <t>DATA INÍCIO</t>
  </si>
  <si>
    <t>PRAZO</t>
  </si>
  <si>
    <t>VALOR CONTRATADO (R$)</t>
  </si>
  <si>
    <t>PRAZO ADITADO</t>
  </si>
  <si>
    <t>VALOR ADITADO</t>
  </si>
  <si>
    <t>MTUR/CAIXA</t>
  </si>
  <si>
    <t>12 MESES</t>
  </si>
  <si>
    <t>44.90</t>
  </si>
  <si>
    <t>6 MESES</t>
  </si>
  <si>
    <t>CONTRATAÇÃO DE EMPRESA DE ENGENHARIA PARA A EXECUÇÃO DAS OBRAS DO CENTRO DE ARTESANATO - VALE DO CAPIBARIBE, NO MUNICÍPIO DE LIMOEIRO/PE.</t>
  </si>
  <si>
    <t>CNPJ Nº  02.199.283/0001-78</t>
  </si>
  <si>
    <t xml:space="preserve">EMPERTEC - Empresa Pernambucana técnica de engenharia e Comercio Ltda.   </t>
  </si>
  <si>
    <t>009/2010</t>
  </si>
  <si>
    <t xml:space="preserve">28/05/2010(OS)
18/08/2010
</t>
  </si>
  <si>
    <t>8 MESES</t>
  </si>
  <si>
    <t>3 MESES</t>
  </si>
  <si>
    <t>4 MESES</t>
  </si>
  <si>
    <t>5 MESES</t>
  </si>
  <si>
    <t>*******</t>
  </si>
  <si>
    <t>*********</t>
  </si>
  <si>
    <t>EM ANDAMENTO</t>
  </si>
  <si>
    <t>CNPJ Nº 22.192.371/0001-55</t>
  </si>
  <si>
    <t>MELHORIAS URBANISTICAS BREJO DA MADRE DE DEUS</t>
  </si>
  <si>
    <t>CNPJ Nº 02.105.940/0001-70</t>
  </si>
  <si>
    <t>011/2013</t>
  </si>
  <si>
    <t>1ª ETAPA DA PAV. E DRENAGEM DA VIA DE ACESSO À PRAIA - MURO ALTO/IPOJUCA</t>
  </si>
  <si>
    <t>388.864-41/2012</t>
  </si>
  <si>
    <t>2ª ETAPA DA PAV. E DRENAGEM DA VIA DE ACESSO À PRAIA - MURO ALTO/IPOJUCA</t>
  </si>
  <si>
    <t>1005.123-16/2013</t>
  </si>
  <si>
    <t>46 meses</t>
  </si>
  <si>
    <t>36 meses</t>
  </si>
  <si>
    <t>CNPJ Nº 
05.356.134/0001-21</t>
  </si>
  <si>
    <t>007/2014</t>
  </si>
  <si>
    <t>*****</t>
  </si>
  <si>
    <t>******</t>
  </si>
  <si>
    <t>CONCLUÍDA</t>
  </si>
  <si>
    <t>385.287-95/2012</t>
  </si>
  <si>
    <t>049/2013</t>
  </si>
  <si>
    <t>7 MESES</t>
  </si>
  <si>
    <t xml:space="preserve">REAJUSTE
(R$)
</t>
  </si>
  <si>
    <t>279.283-08/2008</t>
  </si>
  <si>
    <t>375.545-03/2011</t>
  </si>
  <si>
    <t>CNPJ Nº 00.749.205/0001-74</t>
  </si>
  <si>
    <t>****</t>
  </si>
  <si>
    <t>004/2015</t>
  </si>
  <si>
    <t>PROCESSO LICITATÓRIO Nº 008/2013 - TOMADA DE PREÇO Nº 002/2013</t>
  </si>
  <si>
    <t>PROCESSO LICITATÓRIO Nº 001/2014 - CONCORRENCIA NACIONAL Nº 001/2014</t>
  </si>
  <si>
    <t>PROCESSO LICITATÓRIO Nº 048/2013 - CONCORRENCIA NACIONAL 
Nº 006/2013</t>
  </si>
  <si>
    <t>Construtora Ingazeira Ltda.    (Rota 01, 02, 03)</t>
  </si>
  <si>
    <t>PROCESSO LICITATÓRIO Nº 013/2009 - TOMADA DE PREÇO Nº 006/2009</t>
  </si>
  <si>
    <t>PROCESSO LICITATÓRIO Nº    001/2014 - CONCORRENCIA NACIONAL Nº    001/2014</t>
  </si>
  <si>
    <t>Nome, CPF, Cargo/função e assinatura do ordenador de despesas (29)</t>
  </si>
  <si>
    <t>1011.211-66/2013</t>
  </si>
  <si>
    <t>1018.497-80/2014</t>
  </si>
  <si>
    <t>Diniz Consultoria e Construções Ltda.</t>
  </si>
  <si>
    <t>031/2016</t>
  </si>
  <si>
    <t xml:space="preserve">1017.759-46/2014 </t>
  </si>
  <si>
    <t>CNPJ: 09.531.960/0001-52</t>
  </si>
  <si>
    <t>1015.869-58/2014</t>
  </si>
  <si>
    <t>CNPJ/MF: 08.488.802/0001-02</t>
  </si>
  <si>
    <t>Rio Una Serviços Gerais Ltda.</t>
  </si>
  <si>
    <t>056/2016</t>
  </si>
  <si>
    <t>1024.089-13/2015</t>
  </si>
  <si>
    <t>1031.545-97/2016</t>
  </si>
  <si>
    <t xml:space="preserve">Construtora AR Ltda. - ME </t>
  </si>
  <si>
    <t>CNPJ Nº 08.873.963/0001-01</t>
  </si>
  <si>
    <t>025/2017</t>
  </si>
  <si>
    <t>PROCESSO LICITATÓRIO Nº 003/2017 - TOMADA DE PREÇO Nº 003/2017</t>
  </si>
  <si>
    <t>RESCINDIDA</t>
  </si>
  <si>
    <t>Construtora Ingazeira Ltda.   (Rota 04, 05, 06)</t>
  </si>
  <si>
    <t>PROCESSO LICITATÓRIO Nº 034/2014 - CONCORRENCIA NACIONAL Nº            008/2014</t>
  </si>
  <si>
    <t>PROCESSO Nº 009/2015 - CONCORRENCIA NACIONAL Nº     002/2015</t>
  </si>
  <si>
    <t>008/2016</t>
  </si>
  <si>
    <t>JME Engenharia Ltda.</t>
  </si>
  <si>
    <t>CNPJ Nº 24.061.780/0001-48</t>
  </si>
  <si>
    <t>PROCESSO LICITATÓRIO Nº 013/2017 - CONCORRENCIA NACIONAL Nº 001/2017</t>
  </si>
  <si>
    <t>078/2017</t>
  </si>
  <si>
    <t>PROCESSO LICITATÓRIO Nº   021/2016 - TOMADA DE PREÇO Nº   014/2016</t>
  </si>
  <si>
    <t>BETON Brasil Construções EIRELI - EPP</t>
  </si>
  <si>
    <t xml:space="preserve"> CNPJ Nº  13.509.312/0001-77</t>
  </si>
  <si>
    <t>CNP Nº 02.320.452/0001-86</t>
  </si>
  <si>
    <t>028/2017</t>
  </si>
  <si>
    <t>CNPJ Nº 14.780.722/0001-10</t>
  </si>
  <si>
    <t>B L Construtora e Serviços Ltda. - ME.</t>
  </si>
  <si>
    <t>F.R.F - Engenharia Ltda.</t>
  </si>
  <si>
    <t>CNPJ Nº 07.693.988/0001-60</t>
  </si>
  <si>
    <t>073/2017</t>
  </si>
  <si>
    <t>PROCESSO LICITATÓRIO Nº   011/2017 - TOMADA DE PREÇO Nº   004/2017</t>
  </si>
  <si>
    <t>BL Construtora e Serviços Ltda. ME</t>
  </si>
  <si>
    <t>PROCESSO LICITATÓRIO Nº   001/2018 - TOMADA DE PREÇO Nº   001/2018</t>
  </si>
  <si>
    <t>CNPJ/MF:14.417.792/0001-09</t>
  </si>
  <si>
    <t>SS Serviços Locações e Construções Ltda.</t>
  </si>
  <si>
    <t>CNPJ/MF:10.324.550/0001-10</t>
  </si>
  <si>
    <t>CONSTRUTORA PILARTEX EIRELE EPP</t>
  </si>
  <si>
    <t>058/2016</t>
  </si>
  <si>
    <t>PROCESSO LICITATÓRIO Nº  003/2016 - TOMADA DE PREÇO TIPO MENOR PREÇO    002/2016</t>
  </si>
  <si>
    <t>PROCESSO LICITATÓRIO Nº  011/2018 - TOMADA DE PREÇO TIPO MENOR PREÇO    009/2018</t>
  </si>
  <si>
    <t>DISTRATADA SEM EXECUÇÃO (EMPRESA DESISTIU)</t>
  </si>
  <si>
    <t>PROCESSO LICITATÓRIO Nº   005/2018 - TOMADA DE PREÇO Nº    001/2018</t>
  </si>
  <si>
    <t>ILUMINAÇÃO PÚBLICA NO SÍTIO HISTÓRICO EM IGARASSU - PE</t>
  </si>
  <si>
    <t>Vasconcelos e Santos Ltda.</t>
  </si>
  <si>
    <t>CNPJ/MF: 01.346.561/0001-00</t>
  </si>
  <si>
    <t>082/2018</t>
  </si>
  <si>
    <t>CONSTRUÇÃO DE DOIS PORTAIS E TRÊS TOTENS AO LONGO DA BR-232, EM MORENO - PE</t>
  </si>
  <si>
    <t>PROCESSO LICITATÓRIO Nº 006/2016 - TOMADA DE PREÇO nº 004/2016</t>
  </si>
  <si>
    <t>24 MESES</t>
  </si>
  <si>
    <t>CONSTRUÇÃO DE PRAÇA NA AV. MARIA DORALICE; REFORMA DAS PRAÇAS DA MATRIZ E DA SANTA LUZIA, EM CHÃ DE ALEGRIA - PE</t>
  </si>
  <si>
    <t>INTERVENÇÃO NO ENTORNO DO TELEFÉRICO, EM BONITO - PE</t>
  </si>
  <si>
    <t>PROCESSO LICITATÓRIO Nº 020/2016 - TOMADA DE PREÇO Nº 013/2016</t>
  </si>
  <si>
    <t>PROCESSO LICITATÓRIO Nº 020/2016 - TOMADA DE PREÇO Nº 013/2016 PAVIMENTAÇÃO DO ACESSO AO MIRANTE FREI DAMIÃO NO MUNICÍPIO DE SANTA CRUZ DO CAPIBARIBE/PE</t>
  </si>
  <si>
    <t>011/2018</t>
  </si>
  <si>
    <t>REFORMA DO MERCADO DA MADALENA NA CIDADE DO RECIFE/PE</t>
  </si>
  <si>
    <t>CNPJ/MF: 10.324.550/0001-10</t>
  </si>
  <si>
    <t>002/2019</t>
  </si>
  <si>
    <t>19 MESES</t>
  </si>
  <si>
    <t>DATA DA CONCLUSÃO / PARALISAÇÃO</t>
  </si>
  <si>
    <t>EXECUÇÃO DAS OBRAS DE ACESSIBILIDADE AOS ATRATIVOS TURÍSTICOS NAS CIDADES DE RECIFE E OLINDA, NO ESTADO DE PERNAMBUCO, ROTAS: ACESSÍVEL 01 (RUA DO BOM JESUS, MARCO ZERO E TORRE MALAKOFF); ACESSÍVEL 02 (PRAÇA DA REPÚBLICA E CASA DA CULTURA / ESTAÇÃO CENTRAL); ACESSÍVEL 03 (MERCADO DE SÃO JOSÉ E PÁTIO DE SÃO PAULO); ACESSÍVEL 04 (ORLA DE BOA VIAGEM E PARQUE DONA LINDÚ); ACESSÍVEL 05 (TERMINAL INTEGRADO DE PASSAGEIROS - TIP) ACESSÍVEL 06 (PALÁCIO DOS GOVERNADORES, MERCADO DA RIBEIRA E LARGO DO AMPARO).</t>
  </si>
  <si>
    <t>Nome, CPF, Cargo/função e assinatura do responsável pelo  preenchimento (27) e pela unidade (28)</t>
  </si>
  <si>
    <t>PROCESSO LICITATÓRIO Nº 008/2010 - TOMADA DE PREÇO 002/2010</t>
  </si>
  <si>
    <t>IMPLANTAÇÃO E MODERNIZAÇÃO DE INFRAESTRUTURA PARA ESPORTE RECREATIVO E DE LAZER - PAUDALHO - PE (GUADALAJARA)</t>
  </si>
  <si>
    <t>0264.754-88/2008</t>
  </si>
  <si>
    <t>ME/CAIXA</t>
  </si>
  <si>
    <t>CNPJ Nº 00.392.213/0001-06</t>
  </si>
  <si>
    <t>Processo Engenharia</t>
  </si>
  <si>
    <t>011/2010</t>
  </si>
  <si>
    <t>RESCINDIDO</t>
  </si>
  <si>
    <t>PROCESSO LICITATÓRIO Nº 002/2016 - TOMADA DE PREÇO 001/2016</t>
  </si>
  <si>
    <t>CNPJ Nº 11.780.510/0001-45</t>
  </si>
  <si>
    <t>Sena Construções e Serviços Ltda.</t>
  </si>
  <si>
    <t>032/2017</t>
  </si>
  <si>
    <t>06 MESES</t>
  </si>
  <si>
    <t>PROCESSO LICITATÓRIO Nº 006/2014 -TOMADA DE PREÇO 002/2014</t>
  </si>
  <si>
    <t>ADEQUAÇÃO DO CAMPO DE FUTEBOL NO MUNICÍPIO DE SÃO JOAQUIM DO MONTE - PE.</t>
  </si>
  <si>
    <t>1008.378-46/2013</t>
  </si>
  <si>
    <t>CNPJ Nº 15.088.207/0001-37</t>
  </si>
  <si>
    <t>S. A. Construtora Ltda. - ME</t>
  </si>
  <si>
    <t>013/2014</t>
  </si>
  <si>
    <t>PROCESSO LICITATÓRIO Nº 001/2019 -TOMADA DE PREÇO 001/2019</t>
  </si>
  <si>
    <t>CNPJ Nº 27.603.095/0001-94</t>
  </si>
  <si>
    <t>HE Construtora e Estruturas Eireli</t>
  </si>
  <si>
    <t>004/2019</t>
  </si>
  <si>
    <t>PROCESSO LICITATÓRIO Nº 025/2017 -TOMADA DE PREÇO 009/2017</t>
  </si>
  <si>
    <t>IMPLANTAÇÃO E MODERNIZAÇÃO DE INFRAESTRUTURA ESPORTIVA EM DIVERSOS MUNICÍPIOS DO ESTADO DE PERNAMBUCO (PRAÇAS PARA ACADEMIA - PROGRAMA ACADEMIA - PE EM CUSTÓDIA).</t>
  </si>
  <si>
    <t>1028.378-87/2015</t>
  </si>
  <si>
    <t>CNPJ Nº 04.628.047/0001-55</t>
  </si>
  <si>
    <t>Construtora Valério Ltda. - ME</t>
  </si>
  <si>
    <t>112/2017</t>
  </si>
  <si>
    <t>PROCESSO LICITATÓRIO Nº 006/2018 -TOMADA DE PREÇO 002/2018</t>
  </si>
  <si>
    <t>IMPLANTAÇÃO E MODERNIZAÇÃO DE INFRAESTRUTURA ESPORTIVA ATRAVÉS DO PROGRAMA ACADEMIA PE (COBERTAS DAS ACADEMIAS PE´S)</t>
  </si>
  <si>
    <t>1032.173-90/2016</t>
  </si>
  <si>
    <t>CNPJ/MF 23.439.237/0001-79</t>
  </si>
  <si>
    <t>USA Construção e Incorporação EIRELI EPP.</t>
  </si>
  <si>
    <t>020/2018</t>
  </si>
  <si>
    <t>PROCESSO LICITATÓRIO Nº 010/2018-R -TOMADA DE PREÇO 008/2018</t>
  </si>
  <si>
    <t>CONSTRUÇÃO DE QUADRA DE ESPORTE NO MUNICÍPIO DE RIACHO DAS ALMAS/PE (ESPORTE DE GRANDE EVENTO)</t>
  </si>
  <si>
    <t xml:space="preserve">1039.900-06/2017 </t>
  </si>
  <si>
    <t xml:space="preserve">003/2019 </t>
  </si>
  <si>
    <t>06 Meses</t>
  </si>
  <si>
    <t>PROCESSO LICITATÓRIO Nº 009/2018 -TOMADA DE PREÇO 007/2018</t>
  </si>
  <si>
    <t>REQUALIFICAÇÃO DO GINÁSIO POLIESPORTIVO FERNANDÃO NO MUNICÍPIO DE RIBEIRÃO (ESPORTE DE GRANDE EVENTO)</t>
  </si>
  <si>
    <t>1041.934-51/2017</t>
  </si>
  <si>
    <t>CNPJ: 14.780.722/0001-10</t>
  </si>
  <si>
    <t>086/2018</t>
  </si>
  <si>
    <t>PROCESSO LICITATÓRIO Nº 006/2019 - TOMADA DE PREÇO Nº 002/2019</t>
  </si>
  <si>
    <t>CONSTRUÇÃO DO MUSEU DA FORÇA VOLANTE NAZARENA, NO DISTRITO DE NAZARÉ DO PICO, EM FLORESTA - PE.</t>
  </si>
  <si>
    <t>CNPJ/MF: 18.259.511/0001-98</t>
  </si>
  <si>
    <t>016/2019</t>
  </si>
  <si>
    <t>16 MESES</t>
  </si>
  <si>
    <t>CONTRATO ENCERRADO</t>
  </si>
  <si>
    <t>CNPJ/MF: 20.852.678/0001-00</t>
  </si>
  <si>
    <t>GMAC Aluguel de Maquinas e Serviços Ltda.</t>
  </si>
  <si>
    <t>005/2020</t>
  </si>
  <si>
    <t>PROCESSO LICITATÓRIO Nº    002/2020 - TOMADA DE PREÇO Nº   002/2020</t>
  </si>
  <si>
    <t>PROCESSO LICITATÓRIO Nº 010/2019-R - TOMADA DE PREÇO 006/2019</t>
  </si>
  <si>
    <t>CNPJ/MF:11.717.420/0001-00</t>
  </si>
  <si>
    <t>Pedrosa e Vasconcelos Empreendimentos Ltda. ME</t>
  </si>
  <si>
    <t>003/2020</t>
  </si>
  <si>
    <t>9 MESES</t>
  </si>
  <si>
    <t>42 MESES</t>
  </si>
  <si>
    <t>20 MESES</t>
  </si>
  <si>
    <t>PAVIMENTAÇÃO DE ACESSO A ESTAÇÃO SUPERIOR DO TELEFÉRICO GOVERNADOR EDUARDO CAMPOS NO MUNICÍPIO DE BONITO/PE (APOIO A PROJETOS DE INFRAESTRUTURA TURÍSTICA).</t>
  </si>
  <si>
    <t>1056.804-82/2018</t>
  </si>
  <si>
    <t xml:space="preserve">IG Construtora Ltda. - ME </t>
  </si>
  <si>
    <t>001/2020</t>
  </si>
  <si>
    <t>PROCESSO LICITATÓRIO Nº 007/2019 - TOMADA DE PREÇO Nº   003/2029</t>
  </si>
  <si>
    <t>PROCESSO LICITATÓRIO Nº 001/2020 -TOMADA DE PREÇO 001/2020</t>
  </si>
  <si>
    <t>CONSTRUÇÃO DE SKATE PARK NO BAIRRO DO IBURA EM RECIFE - PE. (ESPORTES E GRANDES EVENTOS ESPORTIVOS - IMPLANTAÇÃO E MODERNIZAÇÃO DE INFRAESTRUTURA PARA ESPORTE EDUCACIONAL, RECREATIVO E DE LAZER)</t>
  </si>
  <si>
    <t>1058.298-57/2018</t>
  </si>
  <si>
    <t>CNPJ/MF: 13.498.023/0001-10</t>
  </si>
  <si>
    <t>Construtora FS EIRELE EPP</t>
  </si>
  <si>
    <t>006/2020</t>
  </si>
  <si>
    <t>MODERNIZAÇÃO DE QUADRAS DE ESPORTES NO MUNICÍPIO DE RIACHO DAS ALMAS-PE. (IMPLANTAÇÃO E MODERNIZAÇÃO DE INFRAESTRUTURA PARA ESPORTE EDUCACIONAL, RECREATIVO E DE LAZER)</t>
  </si>
  <si>
    <t>PROCESSO LICITATÓRIO Nº 005/2020-r -TOMADA DE PREÇO 005/2020</t>
  </si>
  <si>
    <t>1058.296-16/2018</t>
  </si>
  <si>
    <t>CNPJ/MF: 08.100.434/0001-75</t>
  </si>
  <si>
    <t>Nunes &amp; Cavalcanti Construções Ltda. - EPP</t>
  </si>
  <si>
    <t xml:space="preserve">EM ANDAMENTO </t>
  </si>
  <si>
    <t>OBRA CONCLUÍDA</t>
  </si>
  <si>
    <t xml:space="preserve">CONTRATO DE OBRA ENCERRADO; EM ELABORAÇÃO DE NOVO PROJETO COMPLEMENTAR PARA EXECUÇÃO DO REMANECENTE DA OBRA E CONCLUSÃO DO OBJETO
</t>
  </si>
  <si>
    <t>REVITALIZAÇÃO DA PRAÇA DE BOA VIAGEM NO MUNICÍPIO DE RECIFE/PE</t>
  </si>
  <si>
    <t>1056.730-18/2018</t>
  </si>
  <si>
    <t>CNPJ/MF: 10.698.641/0001-15</t>
  </si>
  <si>
    <t>009/2021</t>
  </si>
  <si>
    <t>44.9</t>
  </si>
  <si>
    <t>PROCESSO LICITATÓRIO Nº 001/2021 - TOMADA DE PREÇO Nº   001/2021</t>
  </si>
  <si>
    <t>18 Meses</t>
  </si>
  <si>
    <t>ELABORAÇÃO DE PROJETOS EXECUTIVOS DE DISPOSITIVOS DE SEGURANÇA E SINALIZAÇÃO VIÁRIA, PARA AS ÁREAS DE CONSTRUÇÃO DOS DOIS PORTAIS E TRÊS TOTENS AO LONGO DA BR 232, NO MUNICÍPIO DE MORENO/PE.</t>
  </si>
  <si>
    <t>CNPJ/MF: 08.103.958/0001-10</t>
  </si>
  <si>
    <t>IMTRAFF - Consultoria Projetos de Engenharia Ltda.</t>
  </si>
  <si>
    <t>WM Construções e Incorporações Ltda. EPP</t>
  </si>
  <si>
    <t>Construtora Master EIRELI EPP</t>
  </si>
  <si>
    <t>TEP  Construtora Ltda.  (Rota - 07)</t>
  </si>
  <si>
    <t>Construtora PILARTEX EIRELE EPP</t>
  </si>
  <si>
    <t>T. Barreto Construções Ltda.</t>
  </si>
  <si>
    <t>Rocha Eng. e Incorporações Ltda.</t>
  </si>
  <si>
    <t>PROCESSO LICITATÓRIO Nº 003/2021 - TOMADA DE PREÇO Nº 003/2021</t>
  </si>
  <si>
    <t>008/2021</t>
  </si>
  <si>
    <t>EXECUÇÃO DE TRILHAS ECOLÓGICAS E CENTRO DE REFERÊNCIA AMBIENTAL (CRA) NO PARQUE NATURAL MUNICIPAL MATAS DO MUCURI-HYMALAIA, NO MUNICÍPIO DE BONITO-PE</t>
  </si>
  <si>
    <t>PROCESSO LICITATÓRIO Nº 014/2021 - TOMADA DE PREÇO Nº 008/2021</t>
  </si>
  <si>
    <t>CNPJ/MF: 08.978.001/0001-17</t>
  </si>
  <si>
    <t>A J P Engenharia Ltda EPP.</t>
  </si>
  <si>
    <t>016/2021</t>
  </si>
  <si>
    <t>CONSTRUÇÃO DO PÁTIO PERNAMBUCO NO MUNICÍPIO DE BELÉM DE SÃO FRANCISCO-PE.</t>
  </si>
  <si>
    <t>ROCESSO LICITATÓRIO Nº 011/2021 - TOMADA DE PREÇO Nº 005/2021</t>
  </si>
  <si>
    <t>CNPJ/MF:14.780.722/0001-10</t>
  </si>
  <si>
    <t>B L Construtora e Serviços Ltda. - ME</t>
  </si>
  <si>
    <t>017/2021</t>
  </si>
  <si>
    <t>CONSTRUÇÃO DO CAMPO SOCIETY NO MUNICÍPIO DE TACARATU-PE</t>
  </si>
  <si>
    <t>ROCESSO LICITATÓRIO Nº 012/2021 - TOMADA DE PREÇO Nº 006/2021</t>
  </si>
  <si>
    <t>018/2021</t>
  </si>
  <si>
    <t>REFORMA DAS PRAÇAS E REVITALIZAÇÃO NO PRÉDIO DO GOVERNO MUNICIPAL, NO MUNICÍPIO DE ITAÍBA-PE.</t>
  </si>
  <si>
    <t>ROCESSO LICITATÓRIO Nº 013/2021 - TOMADA DE PREÇO Nº 007/2021</t>
  </si>
  <si>
    <t>19/2021</t>
  </si>
  <si>
    <t>CONSTRUÇÃO DO PÁTIO PERNAMBUCO, NO MUNICÍPIO DE EXÚ-PE.</t>
  </si>
  <si>
    <t>ROCESSO LICITATÓRIO Nº 015/2021 - TOMADA DE PREÇO Nº 009/2021</t>
  </si>
  <si>
    <t>CNPJ/MF:18.259.511/001-98</t>
  </si>
  <si>
    <t>WM Construções e Incorporações Ltda EPP</t>
  </si>
  <si>
    <t>20/2021</t>
  </si>
  <si>
    <t>REFORMA DA ORLA NO MUNICÍPIO DE PETROLÂNDIA/PE.</t>
  </si>
  <si>
    <t>025/2021</t>
  </si>
  <si>
    <t>10 MESES</t>
  </si>
  <si>
    <t>DISTRATADA COM A CONSTRUTORA</t>
  </si>
  <si>
    <t>REQUALIFICAÇÃO DA QUADRA E IMPLANTAÇÃO DE PISTA DE COOPER NO CALÇADÃO EXISTENTE NO MUNICÍPIO DE RIBEIRÃO-PE. (IMPLANTAÇÃO E MODERNIZAÇÃO DE INFRAESTRUTURA PARA ESPORTE EDUCACIONAL, RECREATIVO E DE LAZER)</t>
  </si>
  <si>
    <t>PROCESSO LICITATÓRIO Nº 004/2021 -TOMADA DE PREÇO 004/2021</t>
  </si>
  <si>
    <t>1058.294-65/2018</t>
  </si>
  <si>
    <t>CNPJ/MF: 14.780.722/0001-10</t>
  </si>
  <si>
    <t>013/2021</t>
  </si>
  <si>
    <t>CIDADES/CAIXA</t>
  </si>
  <si>
    <t>CONSTRUÇÃO DE CICLOVIAS NO MUNICÍPIO DE OLINDA - PE.</t>
  </si>
  <si>
    <t>1060.451-45/2018</t>
  </si>
  <si>
    <t>PROCESSO LICITATÓRIO Nº 004/2020 -TOMADA DE PREÇO 004/2020</t>
  </si>
  <si>
    <t>003/2021</t>
  </si>
  <si>
    <t>PAVIMENTAÇÃO DE RUAS NO MUNICÍPIO DE RIACHO DAS ALMAS - PE.</t>
  </si>
  <si>
    <t xml:space="preserve">649.679,70
</t>
  </si>
  <si>
    <t>PROCESSO LICITATÓRIO Nº 003/2020 -TOMADA DE PREÇO 003/2020</t>
  </si>
  <si>
    <t>006/2021</t>
  </si>
  <si>
    <t>CNPJ/MF:  08.100.434/0001-75</t>
  </si>
  <si>
    <t>NUNES &amp; CAVALCANTI CONSTRUÇÕES LTDA - EPP</t>
  </si>
  <si>
    <t>1059.587-08/2018</t>
  </si>
  <si>
    <t>13 MESES</t>
  </si>
  <si>
    <t>22 MESES</t>
  </si>
  <si>
    <t>34 Meses</t>
  </si>
  <si>
    <t>40 Meses</t>
  </si>
  <si>
    <t>17 MESES</t>
  </si>
  <si>
    <t>44 MESES</t>
  </si>
  <si>
    <t>120 DIAS</t>
  </si>
  <si>
    <t>29 MESES</t>
  </si>
  <si>
    <t>3 Meses</t>
  </si>
  <si>
    <t>21 MESES</t>
  </si>
  <si>
    <t>15 MESES</t>
  </si>
  <si>
    <t>08 MESES</t>
  </si>
  <si>
    <t>46 MESES</t>
  </si>
  <si>
    <t>14 MESES</t>
  </si>
  <si>
    <t>08 Meses</t>
  </si>
  <si>
    <t>47 MESES</t>
  </si>
  <si>
    <t>31 MESES</t>
  </si>
  <si>
    <t>ROCESSO LICITATÓRIO Nº 017/2021 - TOMADA DE PREÇO Nº 010/2021</t>
  </si>
  <si>
    <t>WM CONSTRUÇÕES E INCORPORAÇÕES LTDA - EPP</t>
  </si>
  <si>
    <t>023/2021</t>
  </si>
  <si>
    <t>Janeiro/2022 a Março/2022</t>
  </si>
  <si>
    <t>MAPA DEMONSTRATIVO DE OBRAS E SERVIÇOS DE ENGENHARIA REALIZADOS NO EXERCÍCIO DE 2022</t>
  </si>
  <si>
    <t>ROCESSO LICITATÓRIO Nº 018/2021 - TOMADA DE PREÇO Nº 011/2021</t>
  </si>
  <si>
    <t>ROCESSO LICITATÓRIO Nº 019/2021 - TOMADA DE PREÇO Nº 012/2021</t>
  </si>
  <si>
    <t>CONSTRUÇÃO DO PÁTIO PERNAMBUCO NO MUNICÍPIO DE PARNAMIRIM/PE</t>
  </si>
  <si>
    <t>CNPJ/MF: 18.259.511/001-98</t>
  </si>
  <si>
    <t>024/2021</t>
  </si>
  <si>
    <t>PAVIMENTAÇÃO DE RUAS NO MUNICÍPIO DE ITAÍBA-PE</t>
  </si>
  <si>
    <t>ROCESSO LICITATÓRIO Nº 025/2021 - TOMADA DE PREÇO Nº 018/2021</t>
  </si>
  <si>
    <t>CNPJ/MF:02.724.778/0001-79</t>
  </si>
  <si>
    <t>UNITERRA - UNIÃO TERRAPLENAGEM E CONSTRUÇÕES LTDA</t>
  </si>
  <si>
    <t>001/2022</t>
  </si>
  <si>
    <t>ROCESSO LICITATÓRIO Nº 023/2021 - TOMADA DE PREÇO Nº 016/2021</t>
  </si>
  <si>
    <t>CONSTRUÇÃO DO PÁTIO PERNAMBUCO, NO MUNICÍPIO DE CUMARÚ - PE</t>
  </si>
  <si>
    <t>002/2022</t>
  </si>
  <si>
    <t>CONSTRUÇÃO DO PÁTIO DE EVENTOS NO MUNICÍPIO DE ÁGUAS BELAS - PE</t>
  </si>
  <si>
    <t>ROCESSO LICITATÓRIO Nº 021/2021 - TOMADA DE PREÇO Nº 014/2021</t>
  </si>
  <si>
    <t>003/2022</t>
  </si>
  <si>
    <t>ROCESSO LICITATÓRIO Nº 022/2021 - TOMADA DE PREÇO Nº 015/2021</t>
  </si>
  <si>
    <t>REFORMA DA PRAÇA SÃO CRISTÓVÃO NO MUNICÍPIO DE LAGOA DO OURO - PE</t>
  </si>
  <si>
    <t>004/2022</t>
  </si>
  <si>
    <t>ROCESSO LICITATÓRIO Nº 020/2021 - TOMADA DE PREÇO Nº 013/2021</t>
  </si>
  <si>
    <t>CONSTRUÇÃO DO PÁTIO DE EVENTOS NA PRAÇA MIGUEL JASSELY NO MUNICÍPIO DE PALMARES - PE</t>
  </si>
  <si>
    <t>005/2022</t>
  </si>
  <si>
    <t>ROCESSO LICITATÓRIO Nº 024/2021 - TOMADA DE PREÇO Nº 017/2021</t>
  </si>
  <si>
    <t>REVITALIZAÇÃO DA AVENIDA FLORIANO PEIXOTO E PRAÇA DA MATRIZ E REVITALIZAÇÃO DA AVENIDA HUMBERTO CASTELO BRANCO NO MUNICÍPIO DE BODOCÓ NO ESTADO DE PERNAMBUCO.</t>
  </si>
  <si>
    <t>CNPJ/MF: 31.069.076/0001-05</t>
  </si>
  <si>
    <t>TORI Engenharia Serviços e Locações Ltda.</t>
  </si>
  <si>
    <t>006/2022</t>
  </si>
  <si>
    <t>ROCESSO LICITATÓRIO Nº 031/2021 - TOMADA DE PREÇO Nº 021/2021</t>
  </si>
  <si>
    <t>REFORMA DO PRÉDIO DO MERCADO PÚBLICO NO MUNICÍPIO DE SÃO JOSÉ DO BELMONTE - PE.</t>
  </si>
  <si>
    <t>007/2022</t>
  </si>
  <si>
    <t>ROCESSO LICITATÓRIO Nº 030/2021 - TOMADA DE PREÇO Nº 020/2021</t>
  </si>
  <si>
    <t>CONSTRUÇÃO DO PÁTIO DE EVENTOS E REFORMA DE CANTEIROS NO MUNICÍPIO DE MIRANDIBA NO ESTADO DE PERNAMBUCO.</t>
  </si>
  <si>
    <t>009/2022</t>
  </si>
  <si>
    <t>ROCESSO LICITATÓRIO Nº 033/2021 - TOMADA DE PREÇO Nº 023/2021</t>
  </si>
  <si>
    <t>CONSTRUÇÃO DO PÁTIO PERNAMBUCO NO MUNICÍPIO DE BUÍQUE – PE</t>
  </si>
  <si>
    <t>010/2022</t>
  </si>
  <si>
    <t>CONSTRUÇÃO DA PRAÇA BARÃO DO RIO BRANCO (PRAÇA DA CRIANÇA) NO CENTRO DO MUNICÍPIO DE LAJEDO - PE</t>
  </si>
  <si>
    <t>ROCESSO LICITATÓRIO Nº 035/2021 - TOMADA DE PREÇO Nº 025/2021</t>
  </si>
  <si>
    <t>ROCESSO LICITATÓRIO Nº 019/2021 - TOMADA DE PREÇO Nº 028/2021</t>
  </si>
  <si>
    <t>REFORMA DO CAMPO DE FUTEBOL NO MUNICÍPIO DE SANTA CRUZ DA BAIXA VERDE - PE</t>
  </si>
  <si>
    <t>CNPJ/MF:14.949.489/0001-57</t>
  </si>
  <si>
    <t>COHESIL Engenharia Ltda.</t>
  </si>
  <si>
    <t>008/2022</t>
  </si>
  <si>
    <t>011/2022</t>
  </si>
  <si>
    <t>REFORMA DA PRAÇA MAJOR JOÃO NOVAES, NO MUNICÍPIO DE FLORESTA/PE</t>
  </si>
  <si>
    <t>05 MESES</t>
  </si>
  <si>
    <t>05 MESE</t>
  </si>
  <si>
    <t>REFORMA PARA IMPLANTAÇÃO DE UM CENTRO CULTURAL NO EDIFÍCIO DA ANTIGA FORÇA PÚBLICA, E CONSTRUÇÃO DE UM ANEXO, NO MUNICÍPIO DE FLORESTA - PE</t>
  </si>
  <si>
    <t>CNPJ/MF: 07.468.034/0001-54</t>
  </si>
  <si>
    <t>CONSTRUTORA ASSIS LOPES LTDA –EPP</t>
  </si>
  <si>
    <t>013/2022</t>
  </si>
  <si>
    <t>ROCESSO LICITATÓRIO Nº 029/2021 - CONCORRÊNCIA NACIONAL Nº 001/2021</t>
  </si>
  <si>
    <t>ROCESSO LICITATÓRIO Nº 032/2021 - TOMADA DE PREÇO Nº 022/2021</t>
  </si>
  <si>
    <t>CONSTRUÇÃO DO PÁTIO PERNAMBUCO, NO MUNICÍPIO DE TRIUNFO - PE</t>
  </si>
  <si>
    <t>CNPJ/MF: 14.949.489/0001-57</t>
  </si>
  <si>
    <t>014/2022</t>
  </si>
  <si>
    <t>CONSTRUÇÃO DO PÁTIO PERNAMBUCO, NO MUNICÍPIO DE PESQUEIRA - PE</t>
  </si>
  <si>
    <t>ROCESSO LICITATÓRIO Nº 034/2021 - TOMADA DE PREÇO Nº 024/2021</t>
  </si>
  <si>
    <t>15/2022</t>
  </si>
  <si>
    <t xml:space="preserve">DISTRATADO COM EXECUÇÃO PARCIAL; AGUARDANDO REPROGRAMAÇÃO PARA NOVA LICITAÇÃO VISANDO A EXECUÇÃO DO REMANESCENTE DE OBRA </t>
  </si>
  <si>
    <t xml:space="preserve">RESCINDIDA, AGUARDANDO REPROGRAMAÇÃO PARA NOVA LICITAÇÃO, VISANDO A EXECUÇÃO DO REMANESCENTE DE OBRA </t>
  </si>
  <si>
    <t>EXECUÇÃO PARCIAL ATUALMENTE SEM VIGÊNCIA CONTRATUAL, SERÁ RELICITADO O REMANESCENTE DE OBRA</t>
  </si>
  <si>
    <r>
      <t xml:space="preserve">CONTRATO RESCINDIDO COM </t>
    </r>
    <r>
      <rPr>
        <sz val="10"/>
        <rFont val="Calibri"/>
        <family val="2"/>
      </rPr>
      <t>EXECUÇÃO PARCIAL, SERÁ RELICITADO O REMANESCENTE DE OBRA</t>
    </r>
  </si>
  <si>
    <t xml:space="preserve">CONTRATO ENCERRADO POR DECURSO DE PRAZO COM EXECUÇÃO PARCIAL, SERÁ RELICITADO O REMANESCENTE DE OBRA
</t>
  </si>
  <si>
    <t>DISTRATADO SEM EXECUÇÃO, SERÁ RELICITADO</t>
  </si>
  <si>
    <t>PARALISADA AGUARDANDO TERRAPLENAGEM DO MUNICÍPIO</t>
  </si>
  <si>
    <t>PARALISADA AGUARDANDO SOLUÇÃO DE PROBLEMAS ADMINISTRATIVOS LOCAIS PELO MUNICÍPIO</t>
  </si>
  <si>
    <t xml:space="preserve">CONTRATO ENCERRADO POR DECURSO DE PRAZO; SERÁ REPLANILHADO PARA NOVA LICITAÇÃO VISANDO A EXECUÇÃO DO REMANECENTE DE OBRA
</t>
  </si>
  <si>
    <t>CONCLUÍDA PENDENTE DOS PAGAMENTOS FINAIS</t>
  </si>
  <si>
    <t>DISTRATADA SEM EXECUÇÃO, AGUARDANDO REPROGRAMAÇÃO PARA NOVA LICITAÇÃO</t>
  </si>
  <si>
    <t>DISTRATADA SEM EXECUÇÃO, AGUARDANDO NOVA LICITAÇÃO</t>
  </si>
  <si>
    <t>PARALISADA, AGUARDANDO AIO DA CAIXA</t>
  </si>
  <si>
    <t>José Carlos de Morais Guerra, CPF/MF: ***.179.444-**, Secretário Executivo de Infraestrutura do Turismo - SEINFRA</t>
  </si>
  <si>
    <t>abril/2022 a junho/2022</t>
  </si>
  <si>
    <t>DISTRATADA COM EXECUÇÃO PARCIAL</t>
  </si>
  <si>
    <t>PROCESSO LICITATÓRIO Nº  006/2022 - TOMADA DE PREÇO TIPO MENOR PREÇO    005/2022</t>
  </si>
  <si>
    <t>CNPJ/NF: 14.877.395/0001-10</t>
  </si>
  <si>
    <t>Onze Construções EIRELI EPP</t>
  </si>
  <si>
    <t>034/2022</t>
  </si>
  <si>
    <t>04 MESES</t>
  </si>
  <si>
    <t>OBRA CONCLUÍDA COM REDUÇÃO DE METAS</t>
  </si>
  <si>
    <t>09 MESES</t>
  </si>
  <si>
    <t>07 MESES</t>
  </si>
  <si>
    <t>EXECUÇÃO PARCIAL ATUALMENTE SEM VIGÊNCIA CONTRATUAL, AGUARDANDO REPROGRAMAÇÃO PARA EXECUÇÃO DO REMANESCENTE DE OBRA</t>
  </si>
  <si>
    <t>CONTRATO DE OBRA ENCERRADO; ELABORADO NOVO PROJETO COMPLEMENTAR PARA EXECUÇÃO DO REMANECENTE DA OBRA; AGUARDANDO DOTAÇÃO ORÇAMENTÁRIA PARA LICITAÇÃO E CONCLUSÃO DO OBJETO</t>
  </si>
  <si>
    <t>27 MESES</t>
  </si>
  <si>
    <t xml:space="preserve">CONTRATO ENCERRADO POR DECURSO DE PRAZO COM EXECUÇÃO PARCIAL, LICITAÇÃO DO REMANESCENTE DE OBRA EM FASE DE CONCLUSÃO
</t>
  </si>
  <si>
    <t>PROCESSO LICITATÓRIO Nº 007/2018 - TOMADA DE PREÇO Nº   005/2018</t>
  </si>
  <si>
    <t>ADEQUAÇÃO DO PARQUE SANTANA ARIANO SUASSUNA NA CIDADE DE RECIFE/PE (ILUMINAÇÃO)</t>
  </si>
  <si>
    <t>1034.572-85/2016</t>
  </si>
  <si>
    <t>023/2018</t>
  </si>
  <si>
    <t>32 Meses</t>
  </si>
  <si>
    <t>09 Meses</t>
  </si>
  <si>
    <t>OBRA CONCLUÍDO</t>
  </si>
  <si>
    <t>03 MESES</t>
  </si>
  <si>
    <t>019/2021</t>
  </si>
  <si>
    <t>020/2021</t>
  </si>
  <si>
    <t>EM ANDAMENTO
(OBRA RETOMADA)</t>
  </si>
  <si>
    <t>PARALISADA</t>
  </si>
  <si>
    <t>015/2022</t>
  </si>
  <si>
    <t>ROCESSO LICITATÓRIO Nº 001/2022 - TOMADA DE PREÇO Nº 001/2022</t>
  </si>
  <si>
    <t>PAVIMENTAÇÃO DO ACESSO AO SITIO GUARANI E À RUA MANUEL ROBSTAINE DE ALENCAR, NO MUNICÍPIO DE EXÚ - PE</t>
  </si>
  <si>
    <t>CNPJ/MF: 11.512.762/0001-93</t>
  </si>
  <si>
    <t>Willgton Soares Cavalcante EIRELI</t>
  </si>
  <si>
    <t>021/2022</t>
  </si>
  <si>
    <t>ROCESSO LICITATÓRIO Nº 005/2022 - TOMADA DE PREÇO Nº 004/2022</t>
  </si>
  <si>
    <t>CONSTRUÇÃO DE UMA PRAÇA NA VILA DA COHAB NO DISTRITO DE NAZARÉ DO PICO EM FLORESTA - PE</t>
  </si>
  <si>
    <t>033/2022</t>
  </si>
  <si>
    <t>PROCESSO LICITATÓRIO Nº 009/2022 - TOMADA DE PREÇO 008/2022</t>
  </si>
  <si>
    <t>CNPJ/MF: 23.159.046/0001/53</t>
  </si>
  <si>
    <t>RDG Construtora EIRELI.</t>
  </si>
  <si>
    <t>032/2022</t>
  </si>
  <si>
    <t>CONCLUÍDA
PENDENTE DE PAGAMENTO DAS ÚLTIMAS MEDIÇÕS</t>
  </si>
  <si>
    <t>26 MESES</t>
  </si>
  <si>
    <t>004/2021</t>
  </si>
  <si>
    <t>DISTRATADA SEM EXECUÇÃO, OBRA NÃO SERÁ MAIS EXECUTADA</t>
  </si>
  <si>
    <t>DISTRATADA SEM EXECUÇÃO, AGUARDANDO ATUALIZAÇÃO DE PREÇOS PARA NOVA LICITAÇÃO</t>
  </si>
  <si>
    <t>julho/2022 a setembro/2022</t>
  </si>
  <si>
    <t>PROCESSO LICITATÓRIO Nº   007/2022 - TOMADA DE PREÇO Nº   006/2022</t>
  </si>
  <si>
    <t>CNPJ/MF: 07.811.641/0001-75</t>
  </si>
  <si>
    <t>Marinho Construtura EIRELI EPP</t>
  </si>
  <si>
    <t>035/2022</t>
  </si>
  <si>
    <t>PROCESSO LICITATÓRIO Nº 007/2019 - TOMADA DE PREÇO Nº   003/2019</t>
  </si>
  <si>
    <t>ROCESSO LICITATÓRIO Nº 012/2022 - TOMADA DE PREÇO Nº 009/2022</t>
  </si>
  <si>
    <t>CONSTRUÇÃO DO CAMPO SOCIETY NO MUNICÍPIO DE BELÉM DE MARIA - PE</t>
  </si>
  <si>
    <t>037/2022</t>
  </si>
  <si>
    <t>ROCESSO LICITATÓRIO Nº 015/2022 - TOMADA DE PREÇO Nº 012/2022</t>
  </si>
  <si>
    <t>REQUALIFICAÇÃO DE EQUIPAMENTOS URBANOS, NO MUNICÍPIO DE GRAVATÁ - PE</t>
  </si>
  <si>
    <t>038/2022</t>
  </si>
  <si>
    <t>ROCESSO LICITATÓRIO Nº 014/2022 - TOMADA DE PREÇO Nº 011/2022</t>
  </si>
  <si>
    <t>REVITALIZAÇÃO DA ESCADARIA DA FELICIDADE, NO MUNICÍPIO DE GRAVATÁ - PE</t>
  </si>
  <si>
    <t>039/2022</t>
  </si>
  <si>
    <t>outubro/2022 a dezembro/2022</t>
  </si>
  <si>
    <t>CONCLUÍDA COM REDUÇÃO DE METAS</t>
  </si>
  <si>
    <r>
      <t xml:space="preserve">CONTRATO RESCINDIDO COM </t>
    </r>
    <r>
      <rPr>
        <sz val="10"/>
        <rFont val="Calibri"/>
        <family val="2"/>
      </rPr>
      <t xml:space="preserve">EXECUÇÃO PARCIAL, AGUARDANDO NOVA LICITAÇÃO DO REMANESCENTE DE OBRA </t>
    </r>
  </si>
  <si>
    <t>15 Meses</t>
  </si>
  <si>
    <t>DISTRATADA APÓS PARALISAÇÃO DECORRENTE DE PROBLEMAS ADMINISTRATIVOS NO MUNICÍPIO, POR OCUPAÇÃO DA ÁREA ONDE SERIAM REALIZADOS OS SERVIÇOS; OBRA NÃO SERÁ MAIS EXECUTADA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</si>
</sst>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\ ;\-#,##0.00\ ;&quot; -&quot;00\ ;@\ "/>
    <numFmt numFmtId="179" formatCode="0\ ;\(0\)"/>
    <numFmt numFmtId="180" formatCode="#,##0.00\ ;&quot; (&quot;#,##0.00\);&quot; -&quot;00\ ;@\ "/>
    <numFmt numFmtId="181" formatCode="#,##0.00_ ;\-#,##0.00\ "/>
    <numFmt numFmtId="182" formatCode="&quot;R$&quot;#,##0.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5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8" fontId="0" fillId="0" borderId="0" applyBorder="0" applyProtection="0">
      <alignment/>
    </xf>
  </cellStyleXfs>
  <cellXfs count="19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179" fontId="6" fillId="33" borderId="16" xfId="0" applyNumberFormat="1" applyFont="1" applyFill="1" applyBorder="1" applyAlignment="1">
      <alignment horizontal="center" vertical="center"/>
    </xf>
    <xf numFmtId="179" fontId="6" fillId="33" borderId="17" xfId="0" applyNumberFormat="1" applyFont="1" applyFill="1" applyBorder="1" applyAlignment="1">
      <alignment horizontal="center" vertical="center"/>
    </xf>
    <xf numFmtId="179" fontId="6" fillId="33" borderId="18" xfId="0" applyNumberFormat="1" applyFont="1" applyFill="1" applyBorder="1" applyAlignment="1">
      <alignment horizontal="center" vertical="center"/>
    </xf>
    <xf numFmtId="179" fontId="6" fillId="33" borderId="19" xfId="0" applyNumberFormat="1" applyFont="1" applyFill="1" applyBorder="1" applyAlignment="1">
      <alignment horizontal="center" vertical="center"/>
    </xf>
    <xf numFmtId="179" fontId="6" fillId="33" borderId="20" xfId="0" applyNumberFormat="1" applyFont="1" applyFill="1" applyBorder="1" applyAlignment="1">
      <alignment horizontal="center" vertical="center"/>
    </xf>
    <xf numFmtId="179" fontId="6" fillId="33" borderId="21" xfId="0" applyNumberFormat="1" applyFont="1" applyFill="1" applyBorder="1" applyAlignment="1">
      <alignment horizontal="center" vertical="center"/>
    </xf>
    <xf numFmtId="179" fontId="6" fillId="33" borderId="22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179" fontId="7" fillId="33" borderId="16" xfId="0" applyNumberFormat="1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/>
    </xf>
    <xf numFmtId="44" fontId="5" fillId="0" borderId="23" xfId="62" applyNumberFormat="1" applyFont="1" applyFill="1" applyBorder="1" applyAlignment="1">
      <alignment horizontal="center" vertical="center"/>
    </xf>
    <xf numFmtId="44" fontId="5" fillId="0" borderId="23" xfId="0" applyNumberFormat="1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 wrapText="1"/>
    </xf>
    <xf numFmtId="17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44" fontId="8" fillId="0" borderId="23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 quotePrefix="1">
      <alignment horizontal="center" vertical="center" wrapText="1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3" xfId="0" applyNumberFormat="1" applyFont="1" applyFill="1" applyBorder="1" applyAlignment="1">
      <alignment horizontal="center" vertical="center"/>
    </xf>
    <xf numFmtId="14" fontId="8" fillId="0" borderId="23" xfId="47" applyNumberFormat="1" applyFont="1" applyFill="1" applyBorder="1" applyAlignment="1">
      <alignment horizontal="center" vertical="center"/>
    </xf>
    <xf numFmtId="49" fontId="8" fillId="0" borderId="23" xfId="47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4" fontId="8" fillId="0" borderId="25" xfId="47" applyNumberFormat="1" applyFont="1" applyFill="1" applyBorder="1" applyAlignment="1">
      <alignment horizontal="center" vertical="center" wrapText="1"/>
    </xf>
    <xf numFmtId="44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44" fontId="1" fillId="0" borderId="23" xfId="47" applyFill="1" applyBorder="1" applyAlignment="1">
      <alignment horizontal="center" vertical="center" wrapText="1"/>
    </xf>
    <xf numFmtId="44" fontId="8" fillId="0" borderId="23" xfId="47" applyFont="1" applyFill="1" applyBorder="1" applyAlignment="1">
      <alignment horizontal="center" vertical="center"/>
    </xf>
    <xf numFmtId="44" fontId="8" fillId="0" borderId="27" xfId="47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44" fontId="8" fillId="0" borderId="28" xfId="47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4" fontId="8" fillId="0" borderId="23" xfId="47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44" fontId="1" fillId="0" borderId="28" xfId="47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44" fontId="8" fillId="0" borderId="23" xfId="47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4" fontId="8" fillId="0" borderId="23" xfId="47" applyNumberFormat="1" applyFont="1" applyFill="1" applyBorder="1" applyAlignment="1">
      <alignment horizontal="center" vertical="center"/>
    </xf>
    <xf numFmtId="44" fontId="8" fillId="0" borderId="28" xfId="47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44" fontId="8" fillId="0" borderId="28" xfId="47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44" fontId="8" fillId="0" borderId="23" xfId="47" applyNumberFormat="1" applyFont="1" applyFill="1" applyBorder="1" applyAlignment="1">
      <alignment horizontal="center" vertical="center"/>
    </xf>
    <xf numFmtId="44" fontId="8" fillId="0" borderId="27" xfId="47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4" fontId="8" fillId="0" borderId="23" xfId="47" applyNumberFormat="1" applyFont="1" applyFill="1" applyBorder="1" applyAlignment="1">
      <alignment horizontal="center" vertical="center"/>
    </xf>
    <xf numFmtId="44" fontId="8" fillId="0" borderId="23" xfId="47" applyFont="1" applyFill="1" applyBorder="1" applyAlignment="1">
      <alignment horizontal="center" vertical="center" wrapText="1"/>
    </xf>
    <xf numFmtId="14" fontId="8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4" fontId="8" fillId="0" borderId="23" xfId="47" applyNumberFormat="1" applyFont="1" applyFill="1" applyBorder="1" applyAlignment="1">
      <alignment horizontal="center" vertical="center"/>
    </xf>
    <xf numFmtId="44" fontId="8" fillId="0" borderId="28" xfId="47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4" fontId="8" fillId="0" borderId="23" xfId="47" applyNumberFormat="1" applyFont="1" applyFill="1" applyBorder="1" applyAlignment="1">
      <alignment horizontal="center" vertical="center"/>
    </xf>
    <xf numFmtId="44" fontId="5" fillId="0" borderId="28" xfId="62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44" fontId="8" fillId="0" borderId="28" xfId="47" applyNumberFormat="1" applyFont="1" applyFill="1" applyBorder="1" applyAlignment="1">
      <alignment horizontal="center" vertical="center"/>
    </xf>
    <xf numFmtId="44" fontId="8" fillId="0" borderId="23" xfId="47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17" fontId="5" fillId="0" borderId="23" xfId="0" applyNumberFormat="1" applyFont="1" applyFill="1" applyBorder="1" applyAlignment="1">
      <alignment horizontal="center" vertical="center" wrapText="1"/>
    </xf>
    <xf numFmtId="44" fontId="8" fillId="0" borderId="23" xfId="47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4" fontId="8" fillId="0" borderId="28" xfId="47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wrapText="1"/>
    </xf>
    <xf numFmtId="44" fontId="8" fillId="0" borderId="28" xfId="47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4" fontId="8" fillId="0" borderId="23" xfId="47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4" fontId="8" fillId="0" borderId="23" xfId="47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44" fontId="8" fillId="0" borderId="28" xfId="47" applyFont="1" applyFill="1" applyBorder="1" applyAlignment="1">
      <alignment horizontal="center" vertical="center"/>
    </xf>
    <xf numFmtId="44" fontId="8" fillId="0" borderId="28" xfId="47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44" fontId="8" fillId="0" borderId="23" xfId="62" applyNumberFormat="1" applyFont="1" applyFill="1" applyBorder="1" applyAlignment="1">
      <alignment horizontal="center" vertical="center"/>
    </xf>
    <xf numFmtId="14" fontId="8" fillId="0" borderId="23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 wrapText="1"/>
    </xf>
    <xf numFmtId="17" fontId="8" fillId="0" borderId="23" xfId="0" applyNumberFormat="1" applyFont="1" applyFill="1" applyBorder="1" applyAlignment="1">
      <alignment horizontal="center" vertical="center"/>
    </xf>
    <xf numFmtId="44" fontId="1" fillId="0" borderId="28" xfId="47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 quotePrefix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44" fontId="8" fillId="0" borderId="28" xfId="62" applyNumberFormat="1" applyFont="1" applyFill="1" applyBorder="1" applyAlignment="1">
      <alignment horizontal="center" vertical="center"/>
    </xf>
    <xf numFmtId="17" fontId="8" fillId="0" borderId="23" xfId="0" applyNumberFormat="1" applyFont="1" applyFill="1" applyBorder="1" applyAlignment="1">
      <alignment horizontal="center" vertical="center" wrapText="1"/>
    </xf>
    <xf numFmtId="44" fontId="8" fillId="0" borderId="25" xfId="0" applyNumberFormat="1" applyFont="1" applyFill="1" applyBorder="1" applyAlignment="1">
      <alignment horizontal="center" vertical="center" wrapText="1"/>
    </xf>
    <xf numFmtId="44" fontId="1" fillId="0" borderId="23" xfId="47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/>
    </xf>
    <xf numFmtId="44" fontId="8" fillId="0" borderId="28" xfId="47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wrapText="1"/>
    </xf>
    <xf numFmtId="44" fontId="8" fillId="0" borderId="28" xfId="47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4" fontId="8" fillId="0" borderId="23" xfId="47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6" fillId="33" borderId="28" xfId="0" applyNumberFormat="1" applyFont="1" applyFill="1" applyBorder="1" applyAlignment="1">
      <alignment horizontal="center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31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4" fontId="8" fillId="0" borderId="23" xfId="47" applyNumberFormat="1" applyFont="1" applyFill="1" applyBorder="1" applyAlignment="1">
      <alignment horizontal="center" vertical="center"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center" wrapText="1"/>
    </xf>
    <xf numFmtId="0" fontId="6" fillId="33" borderId="37" xfId="0" applyNumberFormat="1" applyFont="1" applyFill="1" applyBorder="1" applyAlignment="1">
      <alignment horizontal="center" vertical="center" wrapText="1"/>
    </xf>
    <xf numFmtId="44" fontId="8" fillId="0" borderId="28" xfId="47" applyNumberFormat="1" applyFont="1" applyFill="1" applyBorder="1" applyAlignment="1">
      <alignment vertical="center"/>
    </xf>
    <xf numFmtId="44" fontId="8" fillId="0" borderId="29" xfId="47" applyNumberFormat="1" applyFont="1" applyFill="1" applyBorder="1" applyAlignment="1">
      <alignment vertical="center"/>
    </xf>
    <xf numFmtId="44" fontId="1" fillId="0" borderId="28" xfId="47" applyFill="1" applyBorder="1" applyAlignment="1">
      <alignment horizontal="center" vertical="center" wrapText="1"/>
    </xf>
    <xf numFmtId="44" fontId="1" fillId="0" borderId="33" xfId="47" applyFill="1" applyBorder="1" applyAlignment="1">
      <alignment horizontal="center" vertical="center" wrapText="1"/>
    </xf>
    <xf numFmtId="0" fontId="7" fillId="33" borderId="38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44" fontId="8" fillId="0" borderId="28" xfId="47" applyFont="1" applyFill="1" applyBorder="1" applyAlignment="1">
      <alignment horizontal="center" vertical="center"/>
    </xf>
    <xf numFmtId="44" fontId="8" fillId="0" borderId="33" xfId="47" applyFont="1" applyFill="1" applyBorder="1" applyAlignment="1">
      <alignment horizontal="center" vertical="center"/>
    </xf>
    <xf numFmtId="44" fontId="8" fillId="0" borderId="29" xfId="47" applyFont="1" applyFill="1" applyBorder="1" applyAlignment="1">
      <alignment horizontal="center" vertical="center"/>
    </xf>
    <xf numFmtId="44" fontId="8" fillId="0" borderId="28" xfId="47" applyNumberFormat="1" applyFont="1" applyFill="1" applyBorder="1" applyAlignment="1">
      <alignment horizontal="center" vertical="center"/>
    </xf>
    <xf numFmtId="44" fontId="8" fillId="0" borderId="33" xfId="47" applyNumberFormat="1" applyFont="1" applyFill="1" applyBorder="1" applyAlignment="1">
      <alignment horizontal="center" vertical="center"/>
    </xf>
    <xf numFmtId="44" fontId="8" fillId="0" borderId="29" xfId="47" applyNumberFormat="1" applyFont="1" applyFill="1" applyBorder="1" applyAlignment="1">
      <alignment horizontal="center" vertical="center"/>
    </xf>
    <xf numFmtId="0" fontId="7" fillId="33" borderId="39" xfId="0" applyNumberFormat="1" applyFont="1" applyFill="1" applyBorder="1" applyAlignment="1">
      <alignment horizontal="center" vertical="center" wrapText="1"/>
    </xf>
    <xf numFmtId="0" fontId="7" fillId="33" borderId="4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44" fontId="1" fillId="0" borderId="28" xfId="47" applyFont="1" applyFill="1" applyBorder="1" applyAlignment="1">
      <alignment horizontal="center" vertical="center" wrapText="1"/>
    </xf>
    <xf numFmtId="44" fontId="1" fillId="0" borderId="33" xfId="47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44" fontId="1" fillId="0" borderId="29" xfId="47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60" zoomScaleNormal="60" zoomScaleSheetLayoutView="70"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1" sqref="A1:V1"/>
    </sheetView>
  </sheetViews>
  <sheetFormatPr defaultColWidth="8.7109375" defaultRowHeight="15"/>
  <cols>
    <col min="1" max="1" width="18.57421875" style="2" customWidth="1"/>
    <col min="2" max="2" width="21.8515625" style="2" customWidth="1"/>
    <col min="3" max="3" width="17.28125" style="4" customWidth="1"/>
    <col min="4" max="4" width="19.421875" style="4" customWidth="1"/>
    <col min="5" max="5" width="21.28125" style="4" customWidth="1"/>
    <col min="6" max="6" width="19.421875" style="4" customWidth="1"/>
    <col min="7" max="7" width="19.421875" style="6" customWidth="1"/>
    <col min="8" max="8" width="22.140625" style="4" customWidth="1"/>
    <col min="9" max="9" width="10.00390625" style="6" customWidth="1"/>
    <col min="10" max="10" width="16.00390625" style="6" customWidth="1"/>
    <col min="11" max="11" width="19.421875" style="6" customWidth="1"/>
    <col min="12" max="12" width="21.57421875" style="6" customWidth="1"/>
    <col min="13" max="13" width="21.7109375" style="6" customWidth="1"/>
    <col min="14" max="14" width="19.421875" style="6" customWidth="1"/>
    <col min="15" max="15" width="19.421875" style="4" customWidth="1"/>
    <col min="16" max="16" width="19.421875" style="6" customWidth="1"/>
    <col min="17" max="17" width="19.421875" style="4" customWidth="1"/>
    <col min="18" max="18" width="22.00390625" style="4" customWidth="1"/>
    <col min="19" max="19" width="21.57421875" style="4" customWidth="1"/>
    <col min="20" max="20" width="20.8515625" style="6" customWidth="1"/>
    <col min="21" max="21" width="21.28125" style="4" customWidth="1"/>
    <col min="22" max="22" width="27.8515625" style="5" customWidth="1"/>
    <col min="23" max="23" width="19.140625" style="1" customWidth="1"/>
    <col min="24" max="16384" width="8.7109375" style="1" customWidth="1"/>
  </cols>
  <sheetData>
    <row r="1" spans="1:22" ht="18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ht="18.7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ht="15">
      <c r="P3" s="4"/>
    </row>
    <row r="4" spans="1:22" ht="18.75">
      <c r="A4" s="158" t="s">
        <v>307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16:22" ht="15">
      <c r="P5" s="4"/>
      <c r="Q5" s="6"/>
      <c r="R5" s="6"/>
      <c r="T5" s="4"/>
      <c r="U5" s="5"/>
      <c r="V5" s="12"/>
    </row>
    <row r="6" spans="6:22" ht="15">
      <c r="F6" s="6"/>
      <c r="P6" s="4"/>
      <c r="Q6" s="6"/>
      <c r="R6" s="8"/>
      <c r="S6" s="5"/>
      <c r="V6" s="12"/>
    </row>
    <row r="7" spans="1:23" ht="15">
      <c r="A7" s="25" t="s">
        <v>2</v>
      </c>
      <c r="C7" s="7">
        <v>210101</v>
      </c>
      <c r="E7" s="35" t="s">
        <v>3</v>
      </c>
      <c r="F7" s="47">
        <v>2022</v>
      </c>
      <c r="I7" s="142" t="s">
        <v>380</v>
      </c>
      <c r="J7" s="142"/>
      <c r="K7" s="142"/>
      <c r="L7" s="142"/>
      <c r="M7" s="142"/>
      <c r="N7" s="142"/>
      <c r="O7" s="142"/>
      <c r="P7" s="142" t="s">
        <v>380</v>
      </c>
      <c r="Q7" s="142"/>
      <c r="R7" s="142"/>
      <c r="S7" s="142"/>
      <c r="T7" s="142"/>
      <c r="U7" s="142"/>
      <c r="W7" s="40"/>
    </row>
    <row r="8" spans="1:23" ht="15">
      <c r="A8" s="25" t="s">
        <v>4</v>
      </c>
      <c r="C8" s="7" t="s">
        <v>5</v>
      </c>
      <c r="E8" s="36" t="s">
        <v>6</v>
      </c>
      <c r="F8" s="47" t="s">
        <v>306</v>
      </c>
      <c r="G8" s="48"/>
      <c r="I8" s="142" t="s">
        <v>144</v>
      </c>
      <c r="J8" s="142"/>
      <c r="K8" s="142"/>
      <c r="L8" s="142"/>
      <c r="M8" s="142"/>
      <c r="N8" s="142"/>
      <c r="O8" s="142"/>
      <c r="Q8" s="142" t="s">
        <v>78</v>
      </c>
      <c r="R8" s="142"/>
      <c r="S8" s="142"/>
      <c r="T8" s="142"/>
      <c r="U8" s="142"/>
      <c r="W8" s="40"/>
    </row>
    <row r="9" ht="15">
      <c r="P9" s="4"/>
    </row>
    <row r="10" spans="1:22" ht="15" customHeight="1">
      <c r="A10" s="159" t="s">
        <v>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43" t="s">
        <v>66</v>
      </c>
      <c r="Q10" s="160" t="s">
        <v>8</v>
      </c>
      <c r="R10" s="161"/>
      <c r="S10" s="161"/>
      <c r="T10" s="162"/>
      <c r="U10" s="143" t="s">
        <v>9</v>
      </c>
      <c r="V10" s="143" t="s">
        <v>10</v>
      </c>
    </row>
    <row r="11" spans="1:22" ht="15" customHeight="1">
      <c r="A11" s="167" t="s">
        <v>11</v>
      </c>
      <c r="B11" s="175" t="s">
        <v>12</v>
      </c>
      <c r="C11" s="160" t="s">
        <v>13</v>
      </c>
      <c r="D11" s="161"/>
      <c r="E11" s="161"/>
      <c r="F11" s="162"/>
      <c r="G11" s="160" t="s">
        <v>14</v>
      </c>
      <c r="H11" s="162"/>
      <c r="I11" s="160" t="s">
        <v>15</v>
      </c>
      <c r="J11" s="161"/>
      <c r="K11" s="161"/>
      <c r="L11" s="161"/>
      <c r="M11" s="162"/>
      <c r="N11" s="160" t="s">
        <v>16</v>
      </c>
      <c r="O11" s="162"/>
      <c r="P11" s="154"/>
      <c r="Q11" s="145" t="s">
        <v>17</v>
      </c>
      <c r="R11" s="147" t="s">
        <v>18</v>
      </c>
      <c r="S11" s="147" t="s">
        <v>19</v>
      </c>
      <c r="T11" s="155" t="s">
        <v>20</v>
      </c>
      <c r="U11" s="144"/>
      <c r="V11" s="144"/>
    </row>
    <row r="12" spans="1:22" ht="90" customHeight="1">
      <c r="A12" s="168"/>
      <c r="B12" s="176"/>
      <c r="C12" s="14" t="s">
        <v>21</v>
      </c>
      <c r="D12" s="24" t="s">
        <v>22</v>
      </c>
      <c r="E12" s="16" t="s">
        <v>23</v>
      </c>
      <c r="F12" s="15" t="s">
        <v>24</v>
      </c>
      <c r="G12" s="14" t="s">
        <v>25</v>
      </c>
      <c r="H12" s="15" t="s">
        <v>26</v>
      </c>
      <c r="I12" s="10" t="s">
        <v>21</v>
      </c>
      <c r="J12" s="11" t="s">
        <v>27</v>
      </c>
      <c r="K12" s="11" t="s">
        <v>28</v>
      </c>
      <c r="L12" s="11" t="s">
        <v>29</v>
      </c>
      <c r="M12" s="9" t="s">
        <v>142</v>
      </c>
      <c r="N12" s="10" t="s">
        <v>30</v>
      </c>
      <c r="O12" s="9" t="s">
        <v>31</v>
      </c>
      <c r="P12" s="154"/>
      <c r="Q12" s="146"/>
      <c r="R12" s="148"/>
      <c r="S12" s="148"/>
      <c r="T12" s="156"/>
      <c r="U12" s="144"/>
      <c r="V12" s="144"/>
    </row>
    <row r="13" spans="1:22" ht="15.75">
      <c r="A13" s="26">
        <v>-5</v>
      </c>
      <c r="B13" s="26">
        <v>-6</v>
      </c>
      <c r="C13" s="18">
        <v>-7</v>
      </c>
      <c r="D13" s="19">
        <v>-8</v>
      </c>
      <c r="E13" s="19">
        <v>-9</v>
      </c>
      <c r="F13" s="20">
        <v>-10</v>
      </c>
      <c r="G13" s="18">
        <v>-11</v>
      </c>
      <c r="H13" s="20">
        <v>-12</v>
      </c>
      <c r="I13" s="21">
        <v>-13</v>
      </c>
      <c r="J13" s="22">
        <v>-14</v>
      </c>
      <c r="K13" s="22">
        <v>-15</v>
      </c>
      <c r="L13" s="22">
        <v>-16</v>
      </c>
      <c r="M13" s="23">
        <v>-17</v>
      </c>
      <c r="N13" s="21">
        <v>-18</v>
      </c>
      <c r="O13" s="23">
        <v>-19</v>
      </c>
      <c r="P13" s="17">
        <v>-20</v>
      </c>
      <c r="Q13" s="18">
        <v>-21</v>
      </c>
      <c r="R13" s="19">
        <v>-22</v>
      </c>
      <c r="S13" s="19">
        <v>-23</v>
      </c>
      <c r="T13" s="20">
        <v>-24</v>
      </c>
      <c r="U13" s="17">
        <v>-25</v>
      </c>
      <c r="V13" s="17">
        <v>-26</v>
      </c>
    </row>
    <row r="14" spans="1:22" s="2" customFormat="1" ht="163.5" customHeight="1">
      <c r="A14" s="52" t="s">
        <v>76</v>
      </c>
      <c r="B14" s="149" t="s">
        <v>36</v>
      </c>
      <c r="C14" s="177" t="s">
        <v>67</v>
      </c>
      <c r="D14" s="177" t="s">
        <v>32</v>
      </c>
      <c r="E14" s="172">
        <v>487500</v>
      </c>
      <c r="F14" s="172">
        <v>54200</v>
      </c>
      <c r="G14" s="52" t="s">
        <v>37</v>
      </c>
      <c r="H14" s="52" t="s">
        <v>38</v>
      </c>
      <c r="I14" s="37" t="s">
        <v>39</v>
      </c>
      <c r="J14" s="52" t="s">
        <v>40</v>
      </c>
      <c r="K14" s="37" t="s">
        <v>41</v>
      </c>
      <c r="L14" s="28">
        <v>536844.8</v>
      </c>
      <c r="M14" s="27">
        <v>40510</v>
      </c>
      <c r="N14" s="37" t="s">
        <v>35</v>
      </c>
      <c r="O14" s="54">
        <v>0</v>
      </c>
      <c r="P14" s="54">
        <v>0</v>
      </c>
      <c r="Q14" s="52" t="s">
        <v>34</v>
      </c>
      <c r="R14" s="54">
        <f aca="true" t="shared" si="0" ref="R14:T15">0+0</f>
        <v>0</v>
      </c>
      <c r="S14" s="94">
        <f t="shared" si="0"/>
        <v>0</v>
      </c>
      <c r="T14" s="81">
        <f t="shared" si="0"/>
        <v>0</v>
      </c>
      <c r="U14" s="54">
        <f>100702.03+T14</f>
        <v>100702.03</v>
      </c>
      <c r="V14" s="60" t="s">
        <v>95</v>
      </c>
    </row>
    <row r="15" spans="1:22" s="2" customFormat="1" ht="163.5" customHeight="1">
      <c r="A15" s="52" t="s">
        <v>122</v>
      </c>
      <c r="B15" s="150"/>
      <c r="C15" s="178"/>
      <c r="D15" s="178"/>
      <c r="E15" s="173"/>
      <c r="F15" s="173"/>
      <c r="G15" s="52" t="s">
        <v>117</v>
      </c>
      <c r="H15" s="52" t="s">
        <v>118</v>
      </c>
      <c r="I15" s="37" t="s">
        <v>121</v>
      </c>
      <c r="J15" s="30">
        <v>42748</v>
      </c>
      <c r="K15" s="37" t="s">
        <v>267</v>
      </c>
      <c r="L15" s="28">
        <v>329712.56</v>
      </c>
      <c r="M15" s="71" t="s">
        <v>45</v>
      </c>
      <c r="N15" s="71" t="s">
        <v>45</v>
      </c>
      <c r="O15" s="54">
        <v>0</v>
      </c>
      <c r="P15" s="54">
        <v>0</v>
      </c>
      <c r="Q15" s="52" t="s">
        <v>34</v>
      </c>
      <c r="R15" s="54">
        <f t="shared" si="0"/>
        <v>0</v>
      </c>
      <c r="S15" s="94">
        <f t="shared" si="0"/>
        <v>0</v>
      </c>
      <c r="T15" s="81">
        <f t="shared" si="0"/>
        <v>0</v>
      </c>
      <c r="U15" s="54">
        <f>0+T15</f>
        <v>0</v>
      </c>
      <c r="V15" s="60" t="s">
        <v>124</v>
      </c>
    </row>
    <row r="16" spans="1:22" s="2" customFormat="1" ht="163.5" customHeight="1">
      <c r="A16" s="52" t="s">
        <v>123</v>
      </c>
      <c r="B16" s="151"/>
      <c r="C16" s="179"/>
      <c r="D16" s="179"/>
      <c r="E16" s="174"/>
      <c r="F16" s="174"/>
      <c r="G16" s="52" t="s">
        <v>119</v>
      </c>
      <c r="H16" s="52" t="s">
        <v>239</v>
      </c>
      <c r="I16" s="39" t="s">
        <v>140</v>
      </c>
      <c r="J16" s="38">
        <v>43612</v>
      </c>
      <c r="K16" s="37" t="s">
        <v>41</v>
      </c>
      <c r="L16" s="28">
        <v>367624.69</v>
      </c>
      <c r="M16" s="38">
        <v>43796</v>
      </c>
      <c r="N16" s="37" t="s">
        <v>287</v>
      </c>
      <c r="O16" s="54">
        <v>0</v>
      </c>
      <c r="P16" s="54">
        <v>0</v>
      </c>
      <c r="Q16" s="52" t="s">
        <v>34</v>
      </c>
      <c r="R16" s="54">
        <v>0</v>
      </c>
      <c r="S16" s="94">
        <v>0</v>
      </c>
      <c r="T16" s="81">
        <v>0</v>
      </c>
      <c r="U16" s="54">
        <f>0+80715.03+15186.93+T16</f>
        <v>95901.95999999999</v>
      </c>
      <c r="V16" s="55" t="s">
        <v>369</v>
      </c>
    </row>
    <row r="17" spans="1:22" s="2" customFormat="1" ht="120" customHeight="1">
      <c r="A17" s="52" t="s">
        <v>72</v>
      </c>
      <c r="B17" s="149" t="s">
        <v>49</v>
      </c>
      <c r="C17" s="149" t="s">
        <v>68</v>
      </c>
      <c r="D17" s="177" t="s">
        <v>32</v>
      </c>
      <c r="E17" s="172">
        <v>975000</v>
      </c>
      <c r="F17" s="172">
        <f>109999.99+123735.04</f>
        <v>233735.03</v>
      </c>
      <c r="G17" s="52" t="s">
        <v>50</v>
      </c>
      <c r="H17" s="52" t="s">
        <v>240</v>
      </c>
      <c r="I17" s="31" t="s">
        <v>51</v>
      </c>
      <c r="J17" s="27">
        <v>41450</v>
      </c>
      <c r="K17" s="37" t="s">
        <v>292</v>
      </c>
      <c r="L17" s="29">
        <v>1037686.18</v>
      </c>
      <c r="M17" s="27">
        <v>41726</v>
      </c>
      <c r="N17" s="37" t="s">
        <v>43</v>
      </c>
      <c r="O17" s="54">
        <v>0</v>
      </c>
      <c r="P17" s="54">
        <v>0</v>
      </c>
      <c r="Q17" s="52" t="s">
        <v>34</v>
      </c>
      <c r="R17" s="54">
        <f>0+0</f>
        <v>0</v>
      </c>
      <c r="S17" s="94">
        <f>0+0</f>
        <v>0</v>
      </c>
      <c r="T17" s="81">
        <f>0+0</f>
        <v>0</v>
      </c>
      <c r="U17" s="54">
        <v>421246.26</v>
      </c>
      <c r="V17" s="60" t="s">
        <v>95</v>
      </c>
    </row>
    <row r="18" spans="1:22" s="2" customFormat="1" ht="120" customHeight="1">
      <c r="A18" s="52" t="s">
        <v>94</v>
      </c>
      <c r="B18" s="151"/>
      <c r="C18" s="151"/>
      <c r="D18" s="179"/>
      <c r="E18" s="174"/>
      <c r="F18" s="174"/>
      <c r="G18" s="52" t="s">
        <v>92</v>
      </c>
      <c r="H18" s="52" t="s">
        <v>91</v>
      </c>
      <c r="I18" s="31" t="s">
        <v>93</v>
      </c>
      <c r="J18" s="27">
        <v>42964</v>
      </c>
      <c r="K18" s="37" t="s">
        <v>41</v>
      </c>
      <c r="L18" s="29">
        <f>540500.13</f>
        <v>540500.13</v>
      </c>
      <c r="M18" s="71" t="s">
        <v>45</v>
      </c>
      <c r="N18" s="37" t="s">
        <v>291</v>
      </c>
      <c r="O18" s="54">
        <v>123108.38</v>
      </c>
      <c r="P18" s="54">
        <v>0</v>
      </c>
      <c r="Q18" s="52" t="s">
        <v>34</v>
      </c>
      <c r="R18" s="54">
        <v>0</v>
      </c>
      <c r="S18" s="94">
        <v>0</v>
      </c>
      <c r="T18" s="81">
        <v>0</v>
      </c>
      <c r="U18" s="54">
        <f>19305.43+60423.3+59048.16+5258.18+18206.19+38907.49+T18</f>
        <v>201148.75</v>
      </c>
      <c r="V18" s="55" t="s">
        <v>367</v>
      </c>
    </row>
    <row r="19" spans="1:22" s="3" customFormat="1" ht="159.75" customHeight="1">
      <c r="A19" s="52" t="s">
        <v>74</v>
      </c>
      <c r="B19" s="149" t="s">
        <v>143</v>
      </c>
      <c r="C19" s="149" t="s">
        <v>63</v>
      </c>
      <c r="D19" s="149" t="s">
        <v>32</v>
      </c>
      <c r="E19" s="165">
        <v>7000000</v>
      </c>
      <c r="F19" s="165">
        <v>368421.05</v>
      </c>
      <c r="G19" s="52" t="s">
        <v>58</v>
      </c>
      <c r="H19" s="52" t="s">
        <v>238</v>
      </c>
      <c r="I19" s="37" t="s">
        <v>64</v>
      </c>
      <c r="J19" s="27">
        <v>41609</v>
      </c>
      <c r="K19" s="37" t="s">
        <v>204</v>
      </c>
      <c r="L19" s="29">
        <v>444842.4</v>
      </c>
      <c r="M19" s="27">
        <v>41831</v>
      </c>
      <c r="N19" s="37" t="s">
        <v>44</v>
      </c>
      <c r="O19" s="54">
        <f>(-1)*96726.92</f>
        <v>-96726.92</v>
      </c>
      <c r="P19" s="54">
        <v>0</v>
      </c>
      <c r="Q19" s="52" t="s">
        <v>34</v>
      </c>
      <c r="R19" s="54">
        <f aca="true" t="shared" si="1" ref="R19:T22">0+0</f>
        <v>0</v>
      </c>
      <c r="S19" s="94">
        <f t="shared" si="1"/>
        <v>0</v>
      </c>
      <c r="T19" s="81">
        <f t="shared" si="1"/>
        <v>0</v>
      </c>
      <c r="U19" s="54">
        <f>203162.06+1202.33+1202.33+22844.28+22844.28-1202.33-4948.34+T19</f>
        <v>245104.61</v>
      </c>
      <c r="V19" s="60" t="s">
        <v>62</v>
      </c>
    </row>
    <row r="20" spans="1:22" s="2" customFormat="1" ht="159.75" customHeight="1">
      <c r="A20" s="32" t="s">
        <v>97</v>
      </c>
      <c r="B20" s="150"/>
      <c r="C20" s="150"/>
      <c r="D20" s="150"/>
      <c r="E20" s="166"/>
      <c r="F20" s="166"/>
      <c r="G20" s="52" t="s">
        <v>69</v>
      </c>
      <c r="H20" s="52" t="s">
        <v>75</v>
      </c>
      <c r="I20" s="37" t="s">
        <v>71</v>
      </c>
      <c r="J20" s="27">
        <v>42320</v>
      </c>
      <c r="K20" s="37" t="s">
        <v>35</v>
      </c>
      <c r="L20" s="29">
        <v>1349307.39</v>
      </c>
      <c r="M20" s="27">
        <v>42989</v>
      </c>
      <c r="N20" s="37" t="s">
        <v>290</v>
      </c>
      <c r="O20" s="54">
        <v>0</v>
      </c>
      <c r="P20" s="54">
        <v>0</v>
      </c>
      <c r="Q20" s="52" t="s">
        <v>34</v>
      </c>
      <c r="R20" s="54">
        <f t="shared" si="1"/>
        <v>0</v>
      </c>
      <c r="S20" s="94">
        <f t="shared" si="1"/>
        <v>0</v>
      </c>
      <c r="T20" s="81">
        <f t="shared" si="1"/>
        <v>0</v>
      </c>
      <c r="U20" s="54">
        <f>678670.46+T20</f>
        <v>678670.46</v>
      </c>
      <c r="V20" s="60" t="s">
        <v>368</v>
      </c>
    </row>
    <row r="21" spans="1:22" s="3" customFormat="1" ht="159.75" customHeight="1">
      <c r="A21" s="52" t="s">
        <v>98</v>
      </c>
      <c r="B21" s="150"/>
      <c r="C21" s="150"/>
      <c r="D21" s="150"/>
      <c r="E21" s="166"/>
      <c r="F21" s="166"/>
      <c r="G21" s="52" t="s">
        <v>69</v>
      </c>
      <c r="H21" s="52" t="s">
        <v>96</v>
      </c>
      <c r="I21" s="37" t="s">
        <v>99</v>
      </c>
      <c r="J21" s="27">
        <v>42534</v>
      </c>
      <c r="K21" s="37" t="s">
        <v>35</v>
      </c>
      <c r="L21" s="33">
        <v>3057573.79</v>
      </c>
      <c r="M21" s="27">
        <v>43021</v>
      </c>
      <c r="N21" s="37" t="s">
        <v>267</v>
      </c>
      <c r="O21" s="54">
        <v>0</v>
      </c>
      <c r="P21" s="54">
        <v>0</v>
      </c>
      <c r="Q21" s="52" t="s">
        <v>34</v>
      </c>
      <c r="R21" s="54">
        <f t="shared" si="1"/>
        <v>0</v>
      </c>
      <c r="S21" s="94">
        <f t="shared" si="1"/>
        <v>0</v>
      </c>
      <c r="T21" s="81">
        <f t="shared" si="1"/>
        <v>0</v>
      </c>
      <c r="U21" s="54">
        <f>592409.39+T21</f>
        <v>592409.39</v>
      </c>
      <c r="V21" s="96" t="s">
        <v>368</v>
      </c>
    </row>
    <row r="22" spans="1:22" s="5" customFormat="1" ht="120" customHeight="1">
      <c r="A22" s="95" t="s">
        <v>73</v>
      </c>
      <c r="B22" s="152" t="s">
        <v>52</v>
      </c>
      <c r="C22" s="152" t="s">
        <v>53</v>
      </c>
      <c r="D22" s="152" t="s">
        <v>32</v>
      </c>
      <c r="E22" s="153">
        <v>975000</v>
      </c>
      <c r="F22" s="153">
        <v>51316</v>
      </c>
      <c r="G22" s="52" t="s">
        <v>48</v>
      </c>
      <c r="H22" s="52" t="s">
        <v>241</v>
      </c>
      <c r="I22" s="52" t="s">
        <v>59</v>
      </c>
      <c r="J22" s="30">
        <v>41214</v>
      </c>
      <c r="K22" s="52" t="s">
        <v>56</v>
      </c>
      <c r="L22" s="28">
        <v>706503.28</v>
      </c>
      <c r="M22" s="71" t="s">
        <v>45</v>
      </c>
      <c r="N22" s="71" t="s">
        <v>45</v>
      </c>
      <c r="O22" s="54">
        <v>0</v>
      </c>
      <c r="P22" s="54">
        <v>0</v>
      </c>
      <c r="Q22" s="52" t="s">
        <v>34</v>
      </c>
      <c r="R22" s="54">
        <f t="shared" si="1"/>
        <v>0</v>
      </c>
      <c r="S22" s="94">
        <f t="shared" si="1"/>
        <v>0</v>
      </c>
      <c r="T22" s="81">
        <f t="shared" si="1"/>
        <v>0</v>
      </c>
      <c r="U22" s="54">
        <f>99976.25+T22</f>
        <v>99976.25</v>
      </c>
      <c r="V22" s="60" t="s">
        <v>152</v>
      </c>
    </row>
    <row r="23" spans="1:22" s="5" customFormat="1" ht="120" customHeight="1">
      <c r="A23" s="95" t="s">
        <v>102</v>
      </c>
      <c r="B23" s="152"/>
      <c r="C23" s="152"/>
      <c r="D23" s="152"/>
      <c r="E23" s="153"/>
      <c r="F23" s="153"/>
      <c r="G23" s="52" t="s">
        <v>101</v>
      </c>
      <c r="H23" s="52" t="s">
        <v>100</v>
      </c>
      <c r="I23" s="52" t="s">
        <v>103</v>
      </c>
      <c r="J23" s="27">
        <v>43047</v>
      </c>
      <c r="K23" s="37" t="s">
        <v>41</v>
      </c>
      <c r="L23" s="29">
        <v>763730.87</v>
      </c>
      <c r="M23" s="79">
        <v>44474</v>
      </c>
      <c r="N23" s="37" t="s">
        <v>289</v>
      </c>
      <c r="O23" s="54">
        <f>(-1)*11728.62</f>
        <v>-11728.62</v>
      </c>
      <c r="P23" s="54">
        <v>0</v>
      </c>
      <c r="Q23" s="52" t="s">
        <v>34</v>
      </c>
      <c r="R23" s="54">
        <f>0</f>
        <v>0</v>
      </c>
      <c r="S23" s="94">
        <f>0</f>
        <v>0</v>
      </c>
      <c r="T23" s="81">
        <f>0</f>
        <v>0</v>
      </c>
      <c r="U23" s="54">
        <f>0+338333.55+142221.8+44362.37+21020.4+T23</f>
        <v>545938.12</v>
      </c>
      <c r="V23" s="55" t="s">
        <v>224</v>
      </c>
    </row>
    <row r="24" spans="1:22" s="5" customFormat="1" ht="93" customHeight="1">
      <c r="A24" s="95" t="s">
        <v>77</v>
      </c>
      <c r="B24" s="149" t="s">
        <v>54</v>
      </c>
      <c r="C24" s="149" t="s">
        <v>55</v>
      </c>
      <c r="D24" s="149" t="s">
        <v>32</v>
      </c>
      <c r="E24" s="163">
        <v>1950000</v>
      </c>
      <c r="F24" s="163">
        <f>102634.58+318254.97</f>
        <v>420889.55</v>
      </c>
      <c r="G24" s="52" t="s">
        <v>48</v>
      </c>
      <c r="H24" s="52" t="s">
        <v>241</v>
      </c>
      <c r="I24" s="52" t="s">
        <v>59</v>
      </c>
      <c r="J24" s="30">
        <v>41540</v>
      </c>
      <c r="K24" s="52" t="s">
        <v>57</v>
      </c>
      <c r="L24" s="28">
        <v>1772830.04</v>
      </c>
      <c r="M24" s="52" t="s">
        <v>45</v>
      </c>
      <c r="N24" s="71" t="s">
        <v>45</v>
      </c>
      <c r="O24" s="54">
        <v>0</v>
      </c>
      <c r="P24" s="54">
        <v>0</v>
      </c>
      <c r="Q24" s="52" t="s">
        <v>34</v>
      </c>
      <c r="R24" s="54">
        <f>0+0</f>
        <v>0</v>
      </c>
      <c r="S24" s="94">
        <f>0+0</f>
        <v>0</v>
      </c>
      <c r="T24" s="81">
        <f>0+0</f>
        <v>0</v>
      </c>
      <c r="U24" s="54">
        <v>16455.73</v>
      </c>
      <c r="V24" s="53" t="s">
        <v>152</v>
      </c>
    </row>
    <row r="25" spans="1:22" s="5" customFormat="1" ht="117" customHeight="1">
      <c r="A25" s="95" t="s">
        <v>102</v>
      </c>
      <c r="B25" s="151"/>
      <c r="C25" s="151"/>
      <c r="D25" s="151"/>
      <c r="E25" s="164"/>
      <c r="F25" s="164"/>
      <c r="G25" s="52" t="s">
        <v>101</v>
      </c>
      <c r="H25" s="52" t="s">
        <v>100</v>
      </c>
      <c r="I25" s="52" t="s">
        <v>103</v>
      </c>
      <c r="J25" s="27">
        <v>43047</v>
      </c>
      <c r="K25" s="37" t="s">
        <v>41</v>
      </c>
      <c r="L25" s="29">
        <v>1955399.63</v>
      </c>
      <c r="M25" s="79">
        <v>44474</v>
      </c>
      <c r="N25" s="37" t="s">
        <v>289</v>
      </c>
      <c r="O25" s="54">
        <f>148640.5+59768.85</f>
        <v>208409.35</v>
      </c>
      <c r="P25" s="54">
        <v>0</v>
      </c>
      <c r="Q25" s="52" t="s">
        <v>34</v>
      </c>
      <c r="R25" s="54">
        <f>0+0</f>
        <v>0</v>
      </c>
      <c r="S25" s="94">
        <f>0</f>
        <v>0</v>
      </c>
      <c r="T25" s="81">
        <f>0</f>
        <v>0</v>
      </c>
      <c r="U25" s="58">
        <f>0+1607777.52+376726.82+95583.42+T25</f>
        <v>2080087.76</v>
      </c>
      <c r="V25" s="55" t="s">
        <v>224</v>
      </c>
    </row>
    <row r="26" spans="1:22" s="5" customFormat="1" ht="75" customHeight="1">
      <c r="A26" s="52" t="s">
        <v>125</v>
      </c>
      <c r="B26" s="52" t="s">
        <v>126</v>
      </c>
      <c r="C26" s="37" t="s">
        <v>79</v>
      </c>
      <c r="D26" s="52" t="s">
        <v>32</v>
      </c>
      <c r="E26" s="54">
        <f>(3900000-3900000)+1649002.36</f>
        <v>1649002.36</v>
      </c>
      <c r="F26" s="54">
        <v>68708.43</v>
      </c>
      <c r="G26" s="52" t="s">
        <v>128</v>
      </c>
      <c r="H26" s="52" t="s">
        <v>127</v>
      </c>
      <c r="I26" s="37" t="s">
        <v>129</v>
      </c>
      <c r="J26" s="30">
        <v>43522</v>
      </c>
      <c r="K26" s="52" t="s">
        <v>65</v>
      </c>
      <c r="L26" s="28">
        <v>1201378.67</v>
      </c>
      <c r="M26" s="80" t="s">
        <v>45</v>
      </c>
      <c r="N26" s="52" t="s">
        <v>288</v>
      </c>
      <c r="O26" s="54">
        <v>0</v>
      </c>
      <c r="P26" s="54">
        <v>0</v>
      </c>
      <c r="Q26" s="52" t="s">
        <v>34</v>
      </c>
      <c r="R26" s="54">
        <f>0+0</f>
        <v>0</v>
      </c>
      <c r="S26" s="94">
        <f>0+0</f>
        <v>0</v>
      </c>
      <c r="T26" s="81">
        <f>0+0</f>
        <v>0</v>
      </c>
      <c r="U26" s="54">
        <f>0+277629.18+244951.85+T26</f>
        <v>522581.03</v>
      </c>
      <c r="V26" s="55" t="s">
        <v>47</v>
      </c>
    </row>
    <row r="27" spans="1:22" s="5" customFormat="1" ht="120" customHeight="1">
      <c r="A27" s="52" t="s">
        <v>131</v>
      </c>
      <c r="B27" s="50" t="s">
        <v>130</v>
      </c>
      <c r="C27" s="50" t="s">
        <v>80</v>
      </c>
      <c r="D27" s="50" t="s">
        <v>32</v>
      </c>
      <c r="E27" s="56">
        <v>975000</v>
      </c>
      <c r="F27" s="56">
        <f>25000+168604.09</f>
        <v>193604.09</v>
      </c>
      <c r="G27" s="52" t="s">
        <v>107</v>
      </c>
      <c r="H27" s="52" t="s">
        <v>81</v>
      </c>
      <c r="I27" s="52" t="s">
        <v>82</v>
      </c>
      <c r="J27" s="30">
        <v>42626</v>
      </c>
      <c r="K27" s="52" t="s">
        <v>35</v>
      </c>
      <c r="L27" s="28">
        <v>771650.5</v>
      </c>
      <c r="M27" s="30">
        <v>43462</v>
      </c>
      <c r="N27" s="52" t="s">
        <v>287</v>
      </c>
      <c r="O27" s="54">
        <v>153719.86</v>
      </c>
      <c r="P27" s="54">
        <v>0</v>
      </c>
      <c r="Q27" s="52" t="s">
        <v>34</v>
      </c>
      <c r="R27" s="54">
        <f aca="true" t="shared" si="2" ref="R27:T28">0+0</f>
        <v>0</v>
      </c>
      <c r="S27" s="94">
        <f t="shared" si="2"/>
        <v>0</v>
      </c>
      <c r="T27" s="81">
        <f t="shared" si="2"/>
        <v>0</v>
      </c>
      <c r="U27" s="54">
        <f>377295.64+0+T27</f>
        <v>377295.64</v>
      </c>
      <c r="V27" s="55" t="s">
        <v>225</v>
      </c>
    </row>
    <row r="28" spans="1:22" s="5" customFormat="1" ht="109.5" customHeight="1">
      <c r="A28" s="95" t="s">
        <v>104</v>
      </c>
      <c r="B28" s="149" t="s">
        <v>133</v>
      </c>
      <c r="C28" s="177" t="s">
        <v>83</v>
      </c>
      <c r="D28" s="149" t="s">
        <v>32</v>
      </c>
      <c r="E28" s="172">
        <v>243750</v>
      </c>
      <c r="F28" s="172">
        <v>6250</v>
      </c>
      <c r="G28" s="52" t="s">
        <v>106</v>
      </c>
      <c r="H28" s="52" t="s">
        <v>105</v>
      </c>
      <c r="I28" s="52" t="s">
        <v>108</v>
      </c>
      <c r="J28" s="30">
        <v>42914</v>
      </c>
      <c r="K28" s="52" t="s">
        <v>44</v>
      </c>
      <c r="L28" s="28">
        <v>235896.03</v>
      </c>
      <c r="M28" s="30">
        <v>43006</v>
      </c>
      <c r="N28" s="52" t="s">
        <v>286</v>
      </c>
      <c r="O28" s="54">
        <v>0</v>
      </c>
      <c r="P28" s="54">
        <v>0</v>
      </c>
      <c r="Q28" s="52" t="s">
        <v>34</v>
      </c>
      <c r="R28" s="54">
        <f t="shared" si="2"/>
        <v>0</v>
      </c>
      <c r="S28" s="94">
        <f t="shared" si="2"/>
        <v>0</v>
      </c>
      <c r="T28" s="81">
        <f t="shared" si="2"/>
        <v>0</v>
      </c>
      <c r="U28" s="54">
        <f>117543.66+37823.35+26813.29+T28</f>
        <v>182180.30000000002</v>
      </c>
      <c r="V28" s="55" t="s">
        <v>152</v>
      </c>
    </row>
    <row r="29" spans="1:22" s="5" customFormat="1" ht="109.5" customHeight="1">
      <c r="A29" s="95" t="s">
        <v>199</v>
      </c>
      <c r="B29" s="151"/>
      <c r="C29" s="179"/>
      <c r="D29" s="151"/>
      <c r="E29" s="174"/>
      <c r="F29" s="174"/>
      <c r="G29" s="52" t="s">
        <v>196</v>
      </c>
      <c r="H29" s="52" t="s">
        <v>197</v>
      </c>
      <c r="I29" s="52" t="s">
        <v>198</v>
      </c>
      <c r="J29" s="30">
        <v>44091</v>
      </c>
      <c r="K29" s="76" t="s">
        <v>44</v>
      </c>
      <c r="L29" s="28">
        <v>55367.31</v>
      </c>
      <c r="M29" s="79">
        <v>44509</v>
      </c>
      <c r="N29" s="37" t="s">
        <v>33</v>
      </c>
      <c r="O29" s="54">
        <v>0</v>
      </c>
      <c r="P29" s="54">
        <v>0</v>
      </c>
      <c r="Q29" s="52" t="s">
        <v>34</v>
      </c>
      <c r="R29" s="54">
        <f>0+0</f>
        <v>0</v>
      </c>
      <c r="S29" s="94">
        <f>0+0</f>
        <v>0</v>
      </c>
      <c r="T29" s="81">
        <f>0+0</f>
        <v>0</v>
      </c>
      <c r="U29" s="54">
        <f>24703.48+T29</f>
        <v>24703.48</v>
      </c>
      <c r="V29" s="55" t="s">
        <v>224</v>
      </c>
    </row>
    <row r="30" spans="1:22" s="5" customFormat="1" ht="129.75" customHeight="1">
      <c r="A30" s="52" t="s">
        <v>135</v>
      </c>
      <c r="B30" s="50" t="s">
        <v>134</v>
      </c>
      <c r="C30" s="50" t="s">
        <v>85</v>
      </c>
      <c r="D30" s="50" t="s">
        <v>32</v>
      </c>
      <c r="E30" s="56">
        <v>585000</v>
      </c>
      <c r="F30" s="56">
        <v>15000</v>
      </c>
      <c r="G30" s="52" t="s">
        <v>86</v>
      </c>
      <c r="H30" s="52" t="s">
        <v>87</v>
      </c>
      <c r="I30" s="52" t="s">
        <v>88</v>
      </c>
      <c r="J30" s="30">
        <v>42414</v>
      </c>
      <c r="K30" s="52" t="s">
        <v>35</v>
      </c>
      <c r="L30" s="28">
        <v>590411.32</v>
      </c>
      <c r="M30" s="30">
        <v>43526</v>
      </c>
      <c r="N30" s="52" t="s">
        <v>206</v>
      </c>
      <c r="O30" s="54">
        <v>0</v>
      </c>
      <c r="P30" s="54">
        <v>0</v>
      </c>
      <c r="Q30" s="52" t="s">
        <v>34</v>
      </c>
      <c r="R30" s="54">
        <f aca="true" t="shared" si="3" ref="R30:T32">0+0</f>
        <v>0</v>
      </c>
      <c r="S30" s="94">
        <f t="shared" si="3"/>
        <v>0</v>
      </c>
      <c r="T30" s="81">
        <f t="shared" si="3"/>
        <v>0</v>
      </c>
      <c r="U30" s="54">
        <f>262625.98+T30</f>
        <v>262625.98</v>
      </c>
      <c r="V30" s="55" t="s">
        <v>369</v>
      </c>
    </row>
    <row r="31" spans="1:22" s="5" customFormat="1" ht="159.75" customHeight="1">
      <c r="A31" s="52" t="s">
        <v>114</v>
      </c>
      <c r="B31" s="52" t="s">
        <v>136</v>
      </c>
      <c r="C31" s="37" t="s">
        <v>89</v>
      </c>
      <c r="D31" s="52" t="s">
        <v>32</v>
      </c>
      <c r="E31" s="54">
        <v>243750</v>
      </c>
      <c r="F31" s="54">
        <v>6250</v>
      </c>
      <c r="G31" s="52" t="s">
        <v>112</v>
      </c>
      <c r="H31" s="52" t="s">
        <v>111</v>
      </c>
      <c r="I31" s="52" t="s">
        <v>113</v>
      </c>
      <c r="J31" s="30">
        <v>43024</v>
      </c>
      <c r="K31" s="52" t="s">
        <v>44</v>
      </c>
      <c r="L31" s="28">
        <v>238420.69</v>
      </c>
      <c r="M31" s="30">
        <v>43754</v>
      </c>
      <c r="N31" s="52" t="s">
        <v>293</v>
      </c>
      <c r="O31" s="54">
        <v>0</v>
      </c>
      <c r="P31" s="54">
        <v>0</v>
      </c>
      <c r="Q31" s="52" t="s">
        <v>34</v>
      </c>
      <c r="R31" s="54">
        <f t="shared" si="3"/>
        <v>0</v>
      </c>
      <c r="S31" s="94">
        <f t="shared" si="3"/>
        <v>0</v>
      </c>
      <c r="T31" s="81">
        <f t="shared" si="3"/>
        <v>0</v>
      </c>
      <c r="U31" s="54">
        <f>0+105716.39+T31</f>
        <v>105716.39</v>
      </c>
      <c r="V31" s="55" t="s">
        <v>370</v>
      </c>
    </row>
    <row r="32" spans="1:22" s="5" customFormat="1" ht="120" customHeight="1">
      <c r="A32" s="52" t="s">
        <v>116</v>
      </c>
      <c r="B32" s="50" t="s">
        <v>138</v>
      </c>
      <c r="C32" s="50" t="s">
        <v>90</v>
      </c>
      <c r="D32" s="50" t="s">
        <v>32</v>
      </c>
      <c r="E32" s="56">
        <v>1066939.58</v>
      </c>
      <c r="F32" s="56">
        <v>1070</v>
      </c>
      <c r="G32" s="52" t="s">
        <v>109</v>
      </c>
      <c r="H32" s="52" t="s">
        <v>115</v>
      </c>
      <c r="I32" s="52" t="s">
        <v>137</v>
      </c>
      <c r="J32" s="30">
        <v>43228</v>
      </c>
      <c r="K32" s="52" t="s">
        <v>41</v>
      </c>
      <c r="L32" s="28">
        <v>1045240.18</v>
      </c>
      <c r="M32" s="30">
        <v>43777</v>
      </c>
      <c r="N32" s="37" t="s">
        <v>132</v>
      </c>
      <c r="O32" s="54">
        <v>0</v>
      </c>
      <c r="P32" s="54">
        <v>0</v>
      </c>
      <c r="Q32" s="52" t="s">
        <v>34</v>
      </c>
      <c r="R32" s="54">
        <f t="shared" si="3"/>
        <v>0</v>
      </c>
      <c r="S32" s="94">
        <f t="shared" si="3"/>
        <v>0</v>
      </c>
      <c r="T32" s="81">
        <f t="shared" si="3"/>
        <v>0</v>
      </c>
      <c r="U32" s="54">
        <f>0+34803.14+81054.93+T32</f>
        <v>115858.06999999999</v>
      </c>
      <c r="V32" s="55" t="s">
        <v>371</v>
      </c>
    </row>
    <row r="33" spans="1:22" s="5" customFormat="1" ht="90" customHeight="1">
      <c r="A33" s="34" t="s">
        <v>231</v>
      </c>
      <c r="B33" s="61" t="s">
        <v>226</v>
      </c>
      <c r="C33" s="37" t="s">
        <v>227</v>
      </c>
      <c r="D33" s="63" t="s">
        <v>32</v>
      </c>
      <c r="E33" s="64">
        <f>911877.39-73178.97</f>
        <v>838698.42</v>
      </c>
      <c r="F33" s="64">
        <v>1344.07</v>
      </c>
      <c r="G33" s="63" t="s">
        <v>228</v>
      </c>
      <c r="H33" s="63" t="s">
        <v>237</v>
      </c>
      <c r="I33" s="63" t="s">
        <v>229</v>
      </c>
      <c r="J33" s="30">
        <v>44436</v>
      </c>
      <c r="K33" s="63" t="s">
        <v>44</v>
      </c>
      <c r="L33" s="28">
        <v>699980.75</v>
      </c>
      <c r="M33" s="71" t="s">
        <v>45</v>
      </c>
      <c r="N33" s="37" t="s">
        <v>294</v>
      </c>
      <c r="O33" s="64">
        <v>0</v>
      </c>
      <c r="P33" s="64">
        <v>0</v>
      </c>
      <c r="Q33" s="63" t="s">
        <v>230</v>
      </c>
      <c r="R33" s="64">
        <f aca="true" t="shared" si="4" ref="R33:T37">0+0</f>
        <v>0</v>
      </c>
      <c r="S33" s="94">
        <f t="shared" si="4"/>
        <v>0</v>
      </c>
      <c r="T33" s="81">
        <f t="shared" si="4"/>
        <v>0</v>
      </c>
      <c r="U33" s="72">
        <f>0+T33</f>
        <v>0</v>
      </c>
      <c r="V33" s="55" t="s">
        <v>47</v>
      </c>
    </row>
    <row r="34" spans="1:22" s="5" customFormat="1" ht="159.75" customHeight="1">
      <c r="A34" s="34" t="s">
        <v>211</v>
      </c>
      <c r="B34" s="50" t="s">
        <v>207</v>
      </c>
      <c r="C34" s="37" t="s">
        <v>208</v>
      </c>
      <c r="D34" s="52" t="s">
        <v>32</v>
      </c>
      <c r="E34" s="54">
        <v>349671.39</v>
      </c>
      <c r="F34" s="54">
        <v>490.23</v>
      </c>
      <c r="G34" s="52" t="s">
        <v>84</v>
      </c>
      <c r="H34" s="52" t="s">
        <v>209</v>
      </c>
      <c r="I34" s="52" t="s">
        <v>210</v>
      </c>
      <c r="J34" s="30">
        <v>43888</v>
      </c>
      <c r="K34" s="52" t="s">
        <v>41</v>
      </c>
      <c r="L34" s="28">
        <v>308102.5</v>
      </c>
      <c r="M34" s="30">
        <v>44279</v>
      </c>
      <c r="N34" s="52" t="s">
        <v>232</v>
      </c>
      <c r="O34" s="54">
        <v>0</v>
      </c>
      <c r="P34" s="54">
        <v>0</v>
      </c>
      <c r="Q34" s="52">
        <v>44.9</v>
      </c>
      <c r="R34" s="72">
        <f t="shared" si="4"/>
        <v>0</v>
      </c>
      <c r="S34" s="94">
        <f t="shared" si="4"/>
        <v>0</v>
      </c>
      <c r="T34" s="81">
        <f t="shared" si="4"/>
        <v>0</v>
      </c>
      <c r="U34" s="54">
        <f>0+T34</f>
        <v>0</v>
      </c>
      <c r="V34" s="60" t="s">
        <v>372</v>
      </c>
    </row>
    <row r="35" spans="1:22" ht="120" customHeight="1">
      <c r="A35" s="95" t="s">
        <v>190</v>
      </c>
      <c r="B35" s="95" t="s">
        <v>191</v>
      </c>
      <c r="C35" s="52" t="s">
        <v>60</v>
      </c>
      <c r="D35" s="52" t="s">
        <v>60</v>
      </c>
      <c r="E35" s="54" t="s">
        <v>60</v>
      </c>
      <c r="F35" s="54">
        <v>232571.71</v>
      </c>
      <c r="G35" s="52" t="s">
        <v>192</v>
      </c>
      <c r="H35" s="52" t="s">
        <v>236</v>
      </c>
      <c r="I35" s="52" t="s">
        <v>193</v>
      </c>
      <c r="J35" s="30">
        <v>43777</v>
      </c>
      <c r="K35" s="52" t="s">
        <v>35</v>
      </c>
      <c r="L35" s="28">
        <v>232571.71</v>
      </c>
      <c r="M35" s="30">
        <v>44546</v>
      </c>
      <c r="N35" s="37" t="s">
        <v>295</v>
      </c>
      <c r="O35" s="54">
        <v>0</v>
      </c>
      <c r="P35" s="54">
        <v>0</v>
      </c>
      <c r="Q35" s="52">
        <v>44.9</v>
      </c>
      <c r="R35" s="72">
        <f aca="true" t="shared" si="5" ref="R35:T37">0+0</f>
        <v>0</v>
      </c>
      <c r="S35" s="94">
        <f t="shared" si="4"/>
        <v>0</v>
      </c>
      <c r="T35" s="81">
        <f t="shared" si="5"/>
        <v>0</v>
      </c>
      <c r="U35" s="54">
        <f>0+182041.88+29981.22+T35</f>
        <v>212023.1</v>
      </c>
      <c r="V35" s="60" t="s">
        <v>62</v>
      </c>
    </row>
    <row r="36" spans="1:22" ht="180" customHeight="1">
      <c r="A36" s="71" t="s">
        <v>242</v>
      </c>
      <c r="B36" s="68" t="s">
        <v>233</v>
      </c>
      <c r="C36" s="71" t="s">
        <v>60</v>
      </c>
      <c r="D36" s="71" t="s">
        <v>60</v>
      </c>
      <c r="E36" s="72" t="s">
        <v>60</v>
      </c>
      <c r="F36" s="70">
        <v>34606.51</v>
      </c>
      <c r="G36" s="63" t="s">
        <v>234</v>
      </c>
      <c r="H36" s="63" t="s">
        <v>235</v>
      </c>
      <c r="I36" s="63" t="s">
        <v>243</v>
      </c>
      <c r="J36" s="30">
        <v>44412</v>
      </c>
      <c r="K36" s="63" t="s">
        <v>35</v>
      </c>
      <c r="L36" s="28">
        <v>31902.26</v>
      </c>
      <c r="M36" s="71" t="s">
        <v>45</v>
      </c>
      <c r="N36" s="37" t="s">
        <v>42</v>
      </c>
      <c r="O36" s="64">
        <v>0</v>
      </c>
      <c r="P36" s="73">
        <v>0</v>
      </c>
      <c r="Q36" s="74" t="s">
        <v>230</v>
      </c>
      <c r="R36" s="64">
        <f>14356.02+0</f>
        <v>14356.02</v>
      </c>
      <c r="S36" s="94">
        <v>14356.02</v>
      </c>
      <c r="T36" s="81">
        <f>14356.02+0</f>
        <v>14356.02</v>
      </c>
      <c r="U36" s="72">
        <f>7975.56+T36</f>
        <v>22331.58</v>
      </c>
      <c r="V36" s="62" t="s">
        <v>47</v>
      </c>
    </row>
    <row r="37" spans="1:22" ht="159.75" customHeight="1">
      <c r="A37" s="71" t="s">
        <v>245</v>
      </c>
      <c r="B37" s="61" t="s">
        <v>244</v>
      </c>
      <c r="C37" s="71" t="s">
        <v>60</v>
      </c>
      <c r="D37" s="71" t="s">
        <v>60</v>
      </c>
      <c r="E37" s="72" t="s">
        <v>60</v>
      </c>
      <c r="F37" s="65">
        <v>1470596.55</v>
      </c>
      <c r="G37" s="63" t="s">
        <v>246</v>
      </c>
      <c r="H37" s="63" t="s">
        <v>247</v>
      </c>
      <c r="I37" s="63" t="s">
        <v>248</v>
      </c>
      <c r="J37" s="30">
        <v>44491</v>
      </c>
      <c r="K37" s="63" t="s">
        <v>204</v>
      </c>
      <c r="L37" s="28">
        <v>1301520.64</v>
      </c>
      <c r="M37" s="71" t="s">
        <v>45</v>
      </c>
      <c r="N37" s="71" t="s">
        <v>45</v>
      </c>
      <c r="O37" s="64">
        <v>0</v>
      </c>
      <c r="P37" s="73">
        <v>0</v>
      </c>
      <c r="Q37" s="74" t="s">
        <v>230</v>
      </c>
      <c r="R37" s="91">
        <f t="shared" si="5"/>
        <v>0</v>
      </c>
      <c r="S37" s="94">
        <f t="shared" si="4"/>
        <v>0</v>
      </c>
      <c r="T37" s="91">
        <f t="shared" si="5"/>
        <v>0</v>
      </c>
      <c r="U37" s="91">
        <f>0+T37</f>
        <v>0</v>
      </c>
      <c r="V37" s="69" t="s">
        <v>47</v>
      </c>
    </row>
    <row r="38" spans="1:22" ht="120" customHeight="1">
      <c r="A38" s="63" t="s">
        <v>250</v>
      </c>
      <c r="B38" s="61" t="s">
        <v>249</v>
      </c>
      <c r="C38" s="71" t="s">
        <v>60</v>
      </c>
      <c r="D38" s="71" t="s">
        <v>60</v>
      </c>
      <c r="E38" s="72" t="s">
        <v>60</v>
      </c>
      <c r="F38" s="65">
        <v>368030.01</v>
      </c>
      <c r="G38" s="63" t="s">
        <v>251</v>
      </c>
      <c r="H38" s="63" t="s">
        <v>252</v>
      </c>
      <c r="I38" s="63" t="s">
        <v>253</v>
      </c>
      <c r="J38" s="30">
        <v>44495</v>
      </c>
      <c r="K38" s="63" t="s">
        <v>35</v>
      </c>
      <c r="L38" s="28">
        <v>365478.68</v>
      </c>
      <c r="M38" s="71" t="s">
        <v>45</v>
      </c>
      <c r="N38" s="71" t="s">
        <v>45</v>
      </c>
      <c r="O38" s="72">
        <v>0</v>
      </c>
      <c r="P38" s="73">
        <v>0</v>
      </c>
      <c r="Q38" s="74" t="s">
        <v>230</v>
      </c>
      <c r="R38" s="91">
        <f>68623.54+0</f>
        <v>68623.54</v>
      </c>
      <c r="S38" s="94">
        <v>68623.54</v>
      </c>
      <c r="T38" s="91">
        <f>68623.54+0</f>
        <v>68623.54</v>
      </c>
      <c r="U38" s="91">
        <f aca="true" t="shared" si="6" ref="U38:U58">0+T38</f>
        <v>68623.54</v>
      </c>
      <c r="V38" s="69" t="s">
        <v>47</v>
      </c>
    </row>
    <row r="39" spans="1:22" ht="120" customHeight="1">
      <c r="A39" s="71" t="s">
        <v>255</v>
      </c>
      <c r="B39" s="68" t="s">
        <v>254</v>
      </c>
      <c r="C39" s="71" t="s">
        <v>60</v>
      </c>
      <c r="D39" s="71" t="s">
        <v>60</v>
      </c>
      <c r="E39" s="72" t="s">
        <v>60</v>
      </c>
      <c r="F39" s="70">
        <v>502288.69</v>
      </c>
      <c r="G39" s="71" t="s">
        <v>251</v>
      </c>
      <c r="H39" s="71" t="s">
        <v>252</v>
      </c>
      <c r="I39" s="71" t="s">
        <v>256</v>
      </c>
      <c r="J39" s="30">
        <v>44495</v>
      </c>
      <c r="K39" s="71" t="s">
        <v>44</v>
      </c>
      <c r="L39" s="28">
        <v>501252.74</v>
      </c>
      <c r="M39" s="71" t="s">
        <v>45</v>
      </c>
      <c r="N39" s="71" t="s">
        <v>45</v>
      </c>
      <c r="O39" s="72">
        <v>0</v>
      </c>
      <c r="P39" s="73">
        <v>0</v>
      </c>
      <c r="Q39" s="74" t="s">
        <v>230</v>
      </c>
      <c r="R39" s="91">
        <f>47081.28+0</f>
        <v>47081.28</v>
      </c>
      <c r="S39" s="94">
        <v>47081.28</v>
      </c>
      <c r="T39" s="91">
        <f>47081.28+0</f>
        <v>47081.28</v>
      </c>
      <c r="U39" s="91">
        <f t="shared" si="6"/>
        <v>47081.28</v>
      </c>
      <c r="V39" s="69" t="s">
        <v>47</v>
      </c>
    </row>
    <row r="40" spans="1:22" ht="120" customHeight="1">
      <c r="A40" s="71" t="s">
        <v>258</v>
      </c>
      <c r="B40" s="68" t="s">
        <v>257</v>
      </c>
      <c r="C40" s="71" t="s">
        <v>60</v>
      </c>
      <c r="D40" s="71" t="s">
        <v>60</v>
      </c>
      <c r="E40" s="72" t="s">
        <v>60</v>
      </c>
      <c r="F40" s="70">
        <v>594475.67</v>
      </c>
      <c r="G40" s="71" t="s">
        <v>251</v>
      </c>
      <c r="H40" s="71" t="s">
        <v>252</v>
      </c>
      <c r="I40" s="71" t="s">
        <v>259</v>
      </c>
      <c r="J40" s="30">
        <v>44495</v>
      </c>
      <c r="K40" s="71" t="s">
        <v>41</v>
      </c>
      <c r="L40" s="28">
        <v>522215.01</v>
      </c>
      <c r="M40" s="71" t="s">
        <v>45</v>
      </c>
      <c r="N40" s="71" t="s">
        <v>45</v>
      </c>
      <c r="O40" s="72">
        <v>0</v>
      </c>
      <c r="P40" s="73">
        <v>0</v>
      </c>
      <c r="Q40" s="74" t="s">
        <v>230</v>
      </c>
      <c r="R40" s="91">
        <f>105441.96+0</f>
        <v>105441.96</v>
      </c>
      <c r="S40" s="94">
        <v>105441.96</v>
      </c>
      <c r="T40" s="91">
        <f>105441.96+0</f>
        <v>105441.96</v>
      </c>
      <c r="U40" s="91">
        <f t="shared" si="6"/>
        <v>105441.96</v>
      </c>
      <c r="V40" s="69" t="s">
        <v>47</v>
      </c>
    </row>
    <row r="41" spans="1:22" ht="120" customHeight="1">
      <c r="A41" s="71" t="s">
        <v>261</v>
      </c>
      <c r="B41" s="61" t="s">
        <v>260</v>
      </c>
      <c r="C41" s="71" t="s">
        <v>60</v>
      </c>
      <c r="D41" s="71" t="s">
        <v>60</v>
      </c>
      <c r="E41" s="72" t="s">
        <v>60</v>
      </c>
      <c r="F41" s="65">
        <v>415898.33</v>
      </c>
      <c r="G41" s="63" t="s">
        <v>262</v>
      </c>
      <c r="H41" s="63" t="s">
        <v>263</v>
      </c>
      <c r="I41" s="63" t="s">
        <v>264</v>
      </c>
      <c r="J41" s="30">
        <v>44504</v>
      </c>
      <c r="K41" s="63" t="s">
        <v>35</v>
      </c>
      <c r="L41" s="28">
        <v>319460.48</v>
      </c>
      <c r="M41" s="71" t="s">
        <v>45</v>
      </c>
      <c r="N41" s="71" t="s">
        <v>45</v>
      </c>
      <c r="O41" s="72">
        <v>0</v>
      </c>
      <c r="P41" s="73">
        <v>0</v>
      </c>
      <c r="Q41" s="74" t="s">
        <v>230</v>
      </c>
      <c r="R41" s="91">
        <f aca="true" t="shared" si="7" ref="R41:T58">0+0</f>
        <v>0</v>
      </c>
      <c r="S41" s="94">
        <f t="shared" si="7"/>
        <v>0</v>
      </c>
      <c r="T41" s="91">
        <f t="shared" si="7"/>
        <v>0</v>
      </c>
      <c r="U41" s="91">
        <f t="shared" si="6"/>
        <v>0</v>
      </c>
      <c r="V41" s="69" t="s">
        <v>47</v>
      </c>
    </row>
    <row r="42" spans="1:22" ht="120" customHeight="1">
      <c r="A42" s="85" t="s">
        <v>309</v>
      </c>
      <c r="B42" s="68" t="s">
        <v>265</v>
      </c>
      <c r="C42" s="71" t="s">
        <v>60</v>
      </c>
      <c r="D42" s="71" t="s">
        <v>60</v>
      </c>
      <c r="E42" s="72" t="s">
        <v>60</v>
      </c>
      <c r="F42" s="70">
        <v>1045219.51</v>
      </c>
      <c r="G42" s="71" t="s">
        <v>272</v>
      </c>
      <c r="H42" s="71" t="s">
        <v>252</v>
      </c>
      <c r="I42" s="71" t="s">
        <v>266</v>
      </c>
      <c r="J42" s="30">
        <v>44552</v>
      </c>
      <c r="K42" s="71" t="s">
        <v>267</v>
      </c>
      <c r="L42" s="28">
        <v>1044946.8</v>
      </c>
      <c r="M42" s="71" t="s">
        <v>45</v>
      </c>
      <c r="N42" s="71" t="s">
        <v>45</v>
      </c>
      <c r="O42" s="72">
        <v>0</v>
      </c>
      <c r="P42" s="73">
        <v>0</v>
      </c>
      <c r="Q42" s="74" t="s">
        <v>230</v>
      </c>
      <c r="R42" s="91">
        <f t="shared" si="7"/>
        <v>0</v>
      </c>
      <c r="S42" s="94">
        <f t="shared" si="7"/>
        <v>0</v>
      </c>
      <c r="T42" s="91">
        <f t="shared" si="7"/>
        <v>0</v>
      </c>
      <c r="U42" s="91">
        <f t="shared" si="6"/>
        <v>0</v>
      </c>
      <c r="V42" s="69" t="s">
        <v>373</v>
      </c>
    </row>
    <row r="43" spans="1:22" ht="120" customHeight="1">
      <c r="A43" s="85" t="s">
        <v>308</v>
      </c>
      <c r="B43" s="83" t="s">
        <v>310</v>
      </c>
      <c r="C43" s="85" t="s">
        <v>60</v>
      </c>
      <c r="D43" s="85" t="s">
        <v>60</v>
      </c>
      <c r="E43" s="86" t="s">
        <v>60</v>
      </c>
      <c r="F43" s="82">
        <v>362619.2</v>
      </c>
      <c r="G43" s="85" t="s">
        <v>311</v>
      </c>
      <c r="H43" s="85" t="s">
        <v>263</v>
      </c>
      <c r="I43" s="85" t="s">
        <v>312</v>
      </c>
      <c r="J43" s="30">
        <v>44532</v>
      </c>
      <c r="K43" s="85" t="s">
        <v>157</v>
      </c>
      <c r="L43" s="87">
        <v>301011.62</v>
      </c>
      <c r="M43" s="85" t="s">
        <v>45</v>
      </c>
      <c r="N43" s="85" t="s">
        <v>45</v>
      </c>
      <c r="O43" s="86">
        <v>0</v>
      </c>
      <c r="P43" s="73">
        <v>0</v>
      </c>
      <c r="Q43" s="74" t="s">
        <v>230</v>
      </c>
      <c r="R43" s="91">
        <f t="shared" si="7"/>
        <v>0</v>
      </c>
      <c r="S43" s="94">
        <f t="shared" si="7"/>
        <v>0</v>
      </c>
      <c r="T43" s="91">
        <f t="shared" si="7"/>
        <v>0</v>
      </c>
      <c r="U43" s="91">
        <f t="shared" si="6"/>
        <v>0</v>
      </c>
      <c r="V43" s="84" t="s">
        <v>47</v>
      </c>
    </row>
    <row r="44" spans="1:22" ht="120" customHeight="1">
      <c r="A44" s="85" t="s">
        <v>303</v>
      </c>
      <c r="B44" s="83" t="s">
        <v>352</v>
      </c>
      <c r="C44" s="85" t="s">
        <v>60</v>
      </c>
      <c r="D44" s="85" t="s">
        <v>60</v>
      </c>
      <c r="E44" s="86" t="s">
        <v>60</v>
      </c>
      <c r="F44" s="82">
        <v>639279.1</v>
      </c>
      <c r="G44" s="85" t="s">
        <v>192</v>
      </c>
      <c r="H44" s="85" t="s">
        <v>304</v>
      </c>
      <c r="I44" s="85" t="s">
        <v>305</v>
      </c>
      <c r="J44" s="30">
        <v>44532</v>
      </c>
      <c r="K44" s="85" t="s">
        <v>267</v>
      </c>
      <c r="L44" s="82">
        <v>639279.1</v>
      </c>
      <c r="M44" s="85" t="s">
        <v>45</v>
      </c>
      <c r="N44" s="85" t="s">
        <v>45</v>
      </c>
      <c r="O44" s="86">
        <v>0</v>
      </c>
      <c r="P44" s="73">
        <v>0</v>
      </c>
      <c r="Q44" s="74" t="s">
        <v>230</v>
      </c>
      <c r="R44" s="91">
        <f>66759.42+0</f>
        <v>66759.42</v>
      </c>
      <c r="S44" s="94">
        <v>66759.42</v>
      </c>
      <c r="T44" s="91">
        <f>66759.42+0</f>
        <v>66759.42</v>
      </c>
      <c r="U44" s="91">
        <f t="shared" si="6"/>
        <v>66759.42</v>
      </c>
      <c r="V44" s="84" t="s">
        <v>47</v>
      </c>
    </row>
    <row r="45" spans="1:22" ht="120" customHeight="1">
      <c r="A45" s="85" t="s">
        <v>314</v>
      </c>
      <c r="B45" s="83" t="s">
        <v>313</v>
      </c>
      <c r="C45" s="85" t="s">
        <v>60</v>
      </c>
      <c r="D45" s="85" t="s">
        <v>60</v>
      </c>
      <c r="E45" s="86" t="s">
        <v>60</v>
      </c>
      <c r="F45" s="82">
        <v>1530436.21</v>
      </c>
      <c r="G45" s="85" t="s">
        <v>315</v>
      </c>
      <c r="H45" s="85" t="s">
        <v>316</v>
      </c>
      <c r="I45" s="85" t="s">
        <v>317</v>
      </c>
      <c r="J45" s="30">
        <v>44601</v>
      </c>
      <c r="K45" s="85" t="s">
        <v>299</v>
      </c>
      <c r="L45" s="82">
        <v>1400203.12</v>
      </c>
      <c r="M45" s="85" t="s">
        <v>45</v>
      </c>
      <c r="N45" s="85" t="s">
        <v>45</v>
      </c>
      <c r="O45" s="86">
        <v>0</v>
      </c>
      <c r="P45" s="73">
        <v>0</v>
      </c>
      <c r="Q45" s="74" t="s">
        <v>230</v>
      </c>
      <c r="R45" s="91">
        <f t="shared" si="7"/>
        <v>0</v>
      </c>
      <c r="S45" s="94">
        <f t="shared" si="7"/>
        <v>0</v>
      </c>
      <c r="T45" s="91">
        <f t="shared" si="7"/>
        <v>0</v>
      </c>
      <c r="U45" s="91">
        <f t="shared" si="6"/>
        <v>0</v>
      </c>
      <c r="V45" s="84" t="s">
        <v>47</v>
      </c>
    </row>
    <row r="46" spans="1:22" ht="120" customHeight="1">
      <c r="A46" s="85" t="s">
        <v>318</v>
      </c>
      <c r="B46" s="83" t="s">
        <v>319</v>
      </c>
      <c r="C46" s="85" t="s">
        <v>60</v>
      </c>
      <c r="D46" s="85" t="s">
        <v>60</v>
      </c>
      <c r="E46" s="86" t="s">
        <v>60</v>
      </c>
      <c r="F46" s="82">
        <v>384866.7</v>
      </c>
      <c r="G46" s="85" t="s">
        <v>272</v>
      </c>
      <c r="H46" s="85" t="s">
        <v>252</v>
      </c>
      <c r="I46" s="85" t="s">
        <v>320</v>
      </c>
      <c r="J46" s="30">
        <v>44607</v>
      </c>
      <c r="K46" s="85" t="s">
        <v>297</v>
      </c>
      <c r="L46" s="82">
        <v>382671.77</v>
      </c>
      <c r="M46" s="85" t="s">
        <v>45</v>
      </c>
      <c r="N46" s="85" t="s">
        <v>45</v>
      </c>
      <c r="O46" s="86">
        <v>0</v>
      </c>
      <c r="P46" s="73">
        <v>0</v>
      </c>
      <c r="Q46" s="74" t="s">
        <v>230</v>
      </c>
      <c r="R46" s="91">
        <f t="shared" si="7"/>
        <v>0</v>
      </c>
      <c r="S46" s="94">
        <f t="shared" si="7"/>
        <v>0</v>
      </c>
      <c r="T46" s="91">
        <f t="shared" si="7"/>
        <v>0</v>
      </c>
      <c r="U46" s="91">
        <f t="shared" si="6"/>
        <v>0</v>
      </c>
      <c r="V46" s="84" t="s">
        <v>47</v>
      </c>
    </row>
    <row r="47" spans="1:22" ht="120" customHeight="1">
      <c r="A47" s="85" t="s">
        <v>322</v>
      </c>
      <c r="B47" s="83" t="s">
        <v>321</v>
      </c>
      <c r="C47" s="85" t="s">
        <v>60</v>
      </c>
      <c r="D47" s="85" t="s">
        <v>60</v>
      </c>
      <c r="E47" s="86" t="s">
        <v>60</v>
      </c>
      <c r="F47" s="82">
        <v>347191.64</v>
      </c>
      <c r="G47" s="85" t="s">
        <v>251</v>
      </c>
      <c r="H47" s="85" t="s">
        <v>252</v>
      </c>
      <c r="I47" s="85" t="s">
        <v>323</v>
      </c>
      <c r="J47" s="30">
        <v>44607</v>
      </c>
      <c r="K47" s="85" t="s">
        <v>297</v>
      </c>
      <c r="L47" s="82">
        <v>343747.86</v>
      </c>
      <c r="M47" s="85" t="s">
        <v>45</v>
      </c>
      <c r="N47" s="85" t="s">
        <v>45</v>
      </c>
      <c r="O47" s="86">
        <v>0</v>
      </c>
      <c r="P47" s="73">
        <v>0</v>
      </c>
      <c r="Q47" s="74" t="s">
        <v>230</v>
      </c>
      <c r="R47" s="91">
        <f t="shared" si="7"/>
        <v>0</v>
      </c>
      <c r="S47" s="94">
        <f t="shared" si="7"/>
        <v>0</v>
      </c>
      <c r="T47" s="91">
        <f t="shared" si="7"/>
        <v>0</v>
      </c>
      <c r="U47" s="91">
        <f t="shared" si="6"/>
        <v>0</v>
      </c>
      <c r="V47" s="84" t="s">
        <v>47</v>
      </c>
    </row>
    <row r="48" spans="1:22" ht="120" customHeight="1">
      <c r="A48" s="85" t="s">
        <v>324</v>
      </c>
      <c r="B48" s="83" t="s">
        <v>325</v>
      </c>
      <c r="C48" s="85" t="s">
        <v>60</v>
      </c>
      <c r="D48" s="85" t="s">
        <v>60</v>
      </c>
      <c r="E48" s="86" t="s">
        <v>60</v>
      </c>
      <c r="F48" s="82">
        <v>95907.67</v>
      </c>
      <c r="G48" s="85" t="s">
        <v>272</v>
      </c>
      <c r="H48" s="85" t="s">
        <v>252</v>
      </c>
      <c r="I48" s="85" t="s">
        <v>326</v>
      </c>
      <c r="J48" s="30">
        <v>44607</v>
      </c>
      <c r="K48" s="85" t="s">
        <v>297</v>
      </c>
      <c r="L48" s="82">
        <v>95891.53</v>
      </c>
      <c r="M48" s="85" t="s">
        <v>45</v>
      </c>
      <c r="N48" s="85" t="s">
        <v>45</v>
      </c>
      <c r="O48" s="86">
        <v>0</v>
      </c>
      <c r="P48" s="73">
        <v>0</v>
      </c>
      <c r="Q48" s="74" t="s">
        <v>230</v>
      </c>
      <c r="R48" s="91">
        <f t="shared" si="7"/>
        <v>0</v>
      </c>
      <c r="S48" s="94">
        <f t="shared" si="7"/>
        <v>0</v>
      </c>
      <c r="T48" s="91">
        <f t="shared" si="7"/>
        <v>0</v>
      </c>
      <c r="U48" s="91">
        <f t="shared" si="6"/>
        <v>0</v>
      </c>
      <c r="V48" s="84" t="s">
        <v>47</v>
      </c>
    </row>
    <row r="49" spans="1:22" ht="120" customHeight="1">
      <c r="A49" s="85" t="s">
        <v>327</v>
      </c>
      <c r="B49" s="83" t="s">
        <v>328</v>
      </c>
      <c r="C49" s="85" t="s">
        <v>60</v>
      </c>
      <c r="D49" s="85" t="s">
        <v>60</v>
      </c>
      <c r="E49" s="86" t="s">
        <v>60</v>
      </c>
      <c r="F49" s="82">
        <v>410706.05</v>
      </c>
      <c r="G49" s="85" t="s">
        <v>272</v>
      </c>
      <c r="H49" s="85" t="s">
        <v>252</v>
      </c>
      <c r="I49" s="85" t="s">
        <v>329</v>
      </c>
      <c r="J49" s="30">
        <v>44607</v>
      </c>
      <c r="K49" s="85" t="s">
        <v>157</v>
      </c>
      <c r="L49" s="82">
        <v>406597.28</v>
      </c>
      <c r="M49" s="85" t="s">
        <v>45</v>
      </c>
      <c r="N49" s="85" t="s">
        <v>45</v>
      </c>
      <c r="O49" s="86">
        <v>0</v>
      </c>
      <c r="P49" s="73">
        <v>0</v>
      </c>
      <c r="Q49" s="74" t="s">
        <v>230</v>
      </c>
      <c r="R49" s="91">
        <f t="shared" si="7"/>
        <v>0</v>
      </c>
      <c r="S49" s="94">
        <f t="shared" si="7"/>
        <v>0</v>
      </c>
      <c r="T49" s="91">
        <f t="shared" si="7"/>
        <v>0</v>
      </c>
      <c r="U49" s="91">
        <f t="shared" si="6"/>
        <v>0</v>
      </c>
      <c r="V49" s="84" t="s">
        <v>47</v>
      </c>
    </row>
    <row r="50" spans="1:22" ht="159.75" customHeight="1">
      <c r="A50" s="85" t="s">
        <v>330</v>
      </c>
      <c r="B50" s="83" t="s">
        <v>331</v>
      </c>
      <c r="C50" s="85" t="s">
        <v>60</v>
      </c>
      <c r="D50" s="85" t="s">
        <v>60</v>
      </c>
      <c r="E50" s="86" t="s">
        <v>60</v>
      </c>
      <c r="F50" s="82">
        <v>1148246.58</v>
      </c>
      <c r="G50" s="85" t="s">
        <v>332</v>
      </c>
      <c r="H50" s="85" t="s">
        <v>333</v>
      </c>
      <c r="I50" s="85" t="s">
        <v>334</v>
      </c>
      <c r="J50" s="30">
        <v>44613</v>
      </c>
      <c r="K50" s="85" t="s">
        <v>297</v>
      </c>
      <c r="L50" s="82">
        <v>1021763.32</v>
      </c>
      <c r="M50" s="85" t="s">
        <v>45</v>
      </c>
      <c r="N50" s="85" t="s">
        <v>45</v>
      </c>
      <c r="O50" s="86">
        <v>0</v>
      </c>
      <c r="P50" s="73">
        <v>0</v>
      </c>
      <c r="Q50" s="74" t="s">
        <v>230</v>
      </c>
      <c r="R50" s="91">
        <f t="shared" si="7"/>
        <v>0</v>
      </c>
      <c r="S50" s="94">
        <f t="shared" si="7"/>
        <v>0</v>
      </c>
      <c r="T50" s="91">
        <f t="shared" si="7"/>
        <v>0</v>
      </c>
      <c r="U50" s="91">
        <f t="shared" si="6"/>
        <v>0</v>
      </c>
      <c r="V50" s="84" t="s">
        <v>47</v>
      </c>
    </row>
    <row r="51" spans="1:22" ht="120" customHeight="1">
      <c r="A51" s="85" t="s">
        <v>335</v>
      </c>
      <c r="B51" s="83" t="s">
        <v>336</v>
      </c>
      <c r="C51" s="85" t="s">
        <v>60</v>
      </c>
      <c r="D51" s="85" t="s">
        <v>60</v>
      </c>
      <c r="E51" s="86" t="s">
        <v>60</v>
      </c>
      <c r="F51" s="82">
        <v>598260.62</v>
      </c>
      <c r="G51" s="85" t="s">
        <v>272</v>
      </c>
      <c r="H51" s="85" t="s">
        <v>252</v>
      </c>
      <c r="I51" s="85" t="s">
        <v>337</v>
      </c>
      <c r="J51" s="30">
        <v>44620</v>
      </c>
      <c r="K51" s="85" t="s">
        <v>157</v>
      </c>
      <c r="L51" s="82">
        <v>525028.3</v>
      </c>
      <c r="M51" s="85" t="s">
        <v>45</v>
      </c>
      <c r="N51" s="85" t="s">
        <v>45</v>
      </c>
      <c r="O51" s="86">
        <v>0</v>
      </c>
      <c r="P51" s="73">
        <v>0</v>
      </c>
      <c r="Q51" s="74" t="s">
        <v>230</v>
      </c>
      <c r="R51" s="91">
        <f t="shared" si="7"/>
        <v>0</v>
      </c>
      <c r="S51" s="94">
        <f t="shared" si="7"/>
        <v>0</v>
      </c>
      <c r="T51" s="91">
        <f t="shared" si="7"/>
        <v>0</v>
      </c>
      <c r="U51" s="91">
        <f t="shared" si="6"/>
        <v>0</v>
      </c>
      <c r="V51" s="84" t="s">
        <v>47</v>
      </c>
    </row>
    <row r="52" spans="1:22" ht="120" customHeight="1">
      <c r="A52" s="85" t="s">
        <v>346</v>
      </c>
      <c r="B52" s="83" t="s">
        <v>347</v>
      </c>
      <c r="C52" s="85" t="s">
        <v>60</v>
      </c>
      <c r="D52" s="85" t="s">
        <v>60</v>
      </c>
      <c r="E52" s="86" t="s">
        <v>60</v>
      </c>
      <c r="F52" s="82">
        <v>450550.68</v>
      </c>
      <c r="G52" s="85" t="s">
        <v>348</v>
      </c>
      <c r="H52" s="85" t="s">
        <v>349</v>
      </c>
      <c r="I52" s="85" t="s">
        <v>350</v>
      </c>
      <c r="J52" s="30">
        <v>44624</v>
      </c>
      <c r="K52" s="85" t="s">
        <v>353</v>
      </c>
      <c r="L52" s="82">
        <v>419017.65</v>
      </c>
      <c r="M52" s="85" t="s">
        <v>45</v>
      </c>
      <c r="N52" s="85" t="s">
        <v>45</v>
      </c>
      <c r="O52" s="86">
        <v>0</v>
      </c>
      <c r="P52" s="73">
        <v>0</v>
      </c>
      <c r="Q52" s="74" t="s">
        <v>230</v>
      </c>
      <c r="R52" s="91">
        <f t="shared" si="7"/>
        <v>0</v>
      </c>
      <c r="S52" s="94">
        <f t="shared" si="7"/>
        <v>0</v>
      </c>
      <c r="T52" s="91">
        <f t="shared" si="7"/>
        <v>0</v>
      </c>
      <c r="U52" s="91">
        <f t="shared" si="6"/>
        <v>0</v>
      </c>
      <c r="V52" s="84" t="s">
        <v>374</v>
      </c>
    </row>
    <row r="53" spans="1:22" ht="120" customHeight="1">
      <c r="A53" s="85" t="s">
        <v>338</v>
      </c>
      <c r="B53" s="83" t="s">
        <v>339</v>
      </c>
      <c r="C53" s="85" t="s">
        <v>60</v>
      </c>
      <c r="D53" s="85" t="s">
        <v>60</v>
      </c>
      <c r="E53" s="86" t="s">
        <v>60</v>
      </c>
      <c r="F53" s="82">
        <v>541168.18</v>
      </c>
      <c r="G53" s="85" t="s">
        <v>272</v>
      </c>
      <c r="H53" s="85" t="s">
        <v>252</v>
      </c>
      <c r="I53" s="85" t="s">
        <v>340</v>
      </c>
      <c r="J53" s="30">
        <v>44624</v>
      </c>
      <c r="K53" s="85" t="s">
        <v>157</v>
      </c>
      <c r="L53" s="82">
        <v>435036.98</v>
      </c>
      <c r="M53" s="85" t="s">
        <v>45</v>
      </c>
      <c r="N53" s="85" t="s">
        <v>45</v>
      </c>
      <c r="O53" s="86">
        <v>0</v>
      </c>
      <c r="P53" s="73">
        <v>0</v>
      </c>
      <c r="Q53" s="74" t="s">
        <v>230</v>
      </c>
      <c r="R53" s="91">
        <f t="shared" si="7"/>
        <v>0</v>
      </c>
      <c r="S53" s="94">
        <f t="shared" si="7"/>
        <v>0</v>
      </c>
      <c r="T53" s="91">
        <f t="shared" si="7"/>
        <v>0</v>
      </c>
      <c r="U53" s="91">
        <f t="shared" si="6"/>
        <v>0</v>
      </c>
      <c r="V53" s="84" t="s">
        <v>47</v>
      </c>
    </row>
    <row r="54" spans="1:22" ht="120" customHeight="1">
      <c r="A54" s="85" t="s">
        <v>341</v>
      </c>
      <c r="B54" s="83" t="s">
        <v>342</v>
      </c>
      <c r="C54" s="85" t="s">
        <v>60</v>
      </c>
      <c r="D54" s="85" t="s">
        <v>60</v>
      </c>
      <c r="E54" s="86" t="s">
        <v>60</v>
      </c>
      <c r="F54" s="82">
        <v>388727.63</v>
      </c>
      <c r="G54" s="85" t="s">
        <v>272</v>
      </c>
      <c r="H54" s="85" t="s">
        <v>252</v>
      </c>
      <c r="I54" s="85" t="s">
        <v>343</v>
      </c>
      <c r="J54" s="30">
        <v>44628</v>
      </c>
      <c r="K54" s="85" t="s">
        <v>157</v>
      </c>
      <c r="L54" s="82">
        <v>386740.27</v>
      </c>
      <c r="M54" s="85" t="s">
        <v>45</v>
      </c>
      <c r="N54" s="85" t="s">
        <v>45</v>
      </c>
      <c r="O54" s="86">
        <v>0</v>
      </c>
      <c r="P54" s="73">
        <v>0</v>
      </c>
      <c r="Q54" s="74" t="s">
        <v>230</v>
      </c>
      <c r="R54" s="91">
        <f t="shared" si="7"/>
        <v>0</v>
      </c>
      <c r="S54" s="94">
        <f t="shared" si="7"/>
        <v>0</v>
      </c>
      <c r="T54" s="91">
        <f t="shared" si="7"/>
        <v>0</v>
      </c>
      <c r="U54" s="91">
        <f t="shared" si="6"/>
        <v>0</v>
      </c>
      <c r="V54" s="84" t="s">
        <v>47</v>
      </c>
    </row>
    <row r="55" spans="1:22" ht="120" customHeight="1">
      <c r="A55" s="85" t="s">
        <v>345</v>
      </c>
      <c r="B55" s="83" t="s">
        <v>344</v>
      </c>
      <c r="C55" s="85" t="s">
        <v>60</v>
      </c>
      <c r="D55" s="85" t="s">
        <v>60</v>
      </c>
      <c r="E55" s="86" t="s">
        <v>60</v>
      </c>
      <c r="F55" s="82">
        <v>241468.99</v>
      </c>
      <c r="G55" s="85" t="s">
        <v>272</v>
      </c>
      <c r="H55" s="85" t="s">
        <v>252</v>
      </c>
      <c r="I55" s="93" t="s">
        <v>351</v>
      </c>
      <c r="J55" s="30">
        <v>44628</v>
      </c>
      <c r="K55" s="85" t="s">
        <v>354</v>
      </c>
      <c r="L55" s="82">
        <v>230615.62</v>
      </c>
      <c r="M55" s="85" t="s">
        <v>45</v>
      </c>
      <c r="N55" s="85" t="s">
        <v>45</v>
      </c>
      <c r="O55" s="86">
        <v>0</v>
      </c>
      <c r="P55" s="73">
        <v>0</v>
      </c>
      <c r="Q55" s="74" t="s">
        <v>230</v>
      </c>
      <c r="R55" s="91">
        <f t="shared" si="7"/>
        <v>0</v>
      </c>
      <c r="S55" s="94">
        <f t="shared" si="7"/>
        <v>0</v>
      </c>
      <c r="T55" s="91">
        <f t="shared" si="7"/>
        <v>0</v>
      </c>
      <c r="U55" s="91">
        <f t="shared" si="6"/>
        <v>0</v>
      </c>
      <c r="V55" s="84" t="s">
        <v>47</v>
      </c>
    </row>
    <row r="56" spans="1:22" ht="159.75" customHeight="1">
      <c r="A56" s="92" t="s">
        <v>359</v>
      </c>
      <c r="B56" s="88" t="s">
        <v>355</v>
      </c>
      <c r="C56" s="92" t="s">
        <v>60</v>
      </c>
      <c r="D56" s="92" t="s">
        <v>60</v>
      </c>
      <c r="E56" s="91" t="s">
        <v>60</v>
      </c>
      <c r="F56" s="90">
        <v>4767726.9</v>
      </c>
      <c r="G56" s="92" t="s">
        <v>356</v>
      </c>
      <c r="H56" s="92" t="s">
        <v>357</v>
      </c>
      <c r="I56" s="93" t="s">
        <v>358</v>
      </c>
      <c r="J56" s="30">
        <v>44644</v>
      </c>
      <c r="K56" s="92" t="s">
        <v>299</v>
      </c>
      <c r="L56" s="90">
        <v>3857267.94</v>
      </c>
      <c r="M56" s="92" t="s">
        <v>45</v>
      </c>
      <c r="N56" s="92" t="s">
        <v>45</v>
      </c>
      <c r="O56" s="91">
        <v>0</v>
      </c>
      <c r="P56" s="73">
        <v>0</v>
      </c>
      <c r="Q56" s="74" t="s">
        <v>230</v>
      </c>
      <c r="R56" s="91">
        <f t="shared" si="7"/>
        <v>0</v>
      </c>
      <c r="S56" s="94">
        <f t="shared" si="7"/>
        <v>0</v>
      </c>
      <c r="T56" s="91">
        <f t="shared" si="7"/>
        <v>0</v>
      </c>
      <c r="U56" s="91">
        <f t="shared" si="6"/>
        <v>0</v>
      </c>
      <c r="V56" s="89" t="s">
        <v>47</v>
      </c>
    </row>
    <row r="57" spans="1:22" ht="120" customHeight="1">
      <c r="A57" s="92" t="s">
        <v>360</v>
      </c>
      <c r="B57" s="88" t="s">
        <v>361</v>
      </c>
      <c r="C57" s="92" t="s">
        <v>60</v>
      </c>
      <c r="D57" s="92" t="s">
        <v>60</v>
      </c>
      <c r="E57" s="91" t="s">
        <v>60</v>
      </c>
      <c r="F57" s="90">
        <v>316297.71</v>
      </c>
      <c r="G57" s="92" t="s">
        <v>362</v>
      </c>
      <c r="H57" s="92" t="s">
        <v>349</v>
      </c>
      <c r="I57" s="93" t="s">
        <v>363</v>
      </c>
      <c r="J57" s="30">
        <v>44648</v>
      </c>
      <c r="K57" s="92" t="s">
        <v>157</v>
      </c>
      <c r="L57" s="90">
        <v>306310.46</v>
      </c>
      <c r="M57" s="92" t="s">
        <v>45</v>
      </c>
      <c r="N57" s="92" t="s">
        <v>45</v>
      </c>
      <c r="O57" s="91">
        <v>0</v>
      </c>
      <c r="P57" s="73">
        <v>0</v>
      </c>
      <c r="Q57" s="74" t="s">
        <v>230</v>
      </c>
      <c r="R57" s="91">
        <f t="shared" si="7"/>
        <v>0</v>
      </c>
      <c r="S57" s="94">
        <f t="shared" si="7"/>
        <v>0</v>
      </c>
      <c r="T57" s="91">
        <f t="shared" si="7"/>
        <v>0</v>
      </c>
      <c r="U57" s="91">
        <f t="shared" si="6"/>
        <v>0</v>
      </c>
      <c r="V57" s="89" t="s">
        <v>47</v>
      </c>
    </row>
    <row r="58" spans="1:22" ht="120" customHeight="1">
      <c r="A58" s="92" t="s">
        <v>365</v>
      </c>
      <c r="B58" s="88" t="s">
        <v>364</v>
      </c>
      <c r="C58" s="92" t="s">
        <v>60</v>
      </c>
      <c r="D58" s="92" t="s">
        <v>60</v>
      </c>
      <c r="E58" s="91" t="s">
        <v>60</v>
      </c>
      <c r="F58" s="90">
        <v>388727.63</v>
      </c>
      <c r="G58" s="92" t="s">
        <v>272</v>
      </c>
      <c r="H58" s="92" t="s">
        <v>252</v>
      </c>
      <c r="I58" s="93" t="s">
        <v>366</v>
      </c>
      <c r="J58" s="30">
        <v>44648</v>
      </c>
      <c r="K58" s="92" t="s">
        <v>157</v>
      </c>
      <c r="L58" s="90">
        <v>386740.27</v>
      </c>
      <c r="M58" s="92" t="s">
        <v>45</v>
      </c>
      <c r="N58" s="92" t="s">
        <v>45</v>
      </c>
      <c r="O58" s="91">
        <v>0</v>
      </c>
      <c r="P58" s="73">
        <v>0</v>
      </c>
      <c r="Q58" s="74" t="s">
        <v>230</v>
      </c>
      <c r="R58" s="91">
        <f t="shared" si="7"/>
        <v>0</v>
      </c>
      <c r="S58" s="94">
        <f t="shared" si="7"/>
        <v>0</v>
      </c>
      <c r="T58" s="91">
        <f t="shared" si="7"/>
        <v>0</v>
      </c>
      <c r="U58" s="91">
        <f t="shared" si="6"/>
        <v>0</v>
      </c>
      <c r="V58" s="89" t="s">
        <v>47</v>
      </c>
    </row>
    <row r="59" spans="1:22" s="13" customFormat="1" ht="76.5" customHeight="1">
      <c r="A59" s="52" t="s">
        <v>145</v>
      </c>
      <c r="B59" s="149" t="s">
        <v>146</v>
      </c>
      <c r="C59" s="177" t="s">
        <v>147</v>
      </c>
      <c r="D59" s="149" t="s">
        <v>148</v>
      </c>
      <c r="E59" s="169">
        <v>585000</v>
      </c>
      <c r="F59" s="169">
        <v>208662.28</v>
      </c>
      <c r="G59" s="52" t="s">
        <v>149</v>
      </c>
      <c r="H59" s="52" t="s">
        <v>150</v>
      </c>
      <c r="I59" s="37" t="s">
        <v>151</v>
      </c>
      <c r="J59" s="30" t="s">
        <v>61</v>
      </c>
      <c r="K59" s="30" t="s">
        <v>65</v>
      </c>
      <c r="L59" s="28">
        <v>793662.28</v>
      </c>
      <c r="M59" s="30" t="s">
        <v>61</v>
      </c>
      <c r="N59" s="52" t="s">
        <v>46</v>
      </c>
      <c r="O59" s="54">
        <v>0</v>
      </c>
      <c r="P59" s="41">
        <v>0</v>
      </c>
      <c r="Q59" s="42" t="s">
        <v>34</v>
      </c>
      <c r="R59" s="54">
        <f aca="true" t="shared" si="8" ref="R59:T72">0+0</f>
        <v>0</v>
      </c>
      <c r="S59" s="94">
        <f t="shared" si="8"/>
        <v>0</v>
      </c>
      <c r="T59" s="81">
        <f t="shared" si="8"/>
        <v>0</v>
      </c>
      <c r="U59" s="41">
        <f>439504.45+T59</f>
        <v>439504.45</v>
      </c>
      <c r="V59" s="43" t="s">
        <v>152</v>
      </c>
    </row>
    <row r="60" spans="1:22" s="13" customFormat="1" ht="79.5" customHeight="1">
      <c r="A60" s="52" t="s">
        <v>153</v>
      </c>
      <c r="B60" s="150"/>
      <c r="C60" s="178"/>
      <c r="D60" s="150"/>
      <c r="E60" s="170"/>
      <c r="F60" s="170"/>
      <c r="G60" s="52" t="s">
        <v>154</v>
      </c>
      <c r="H60" s="52" t="s">
        <v>155</v>
      </c>
      <c r="I60" s="37" t="s">
        <v>156</v>
      </c>
      <c r="J60" s="30">
        <v>42964</v>
      </c>
      <c r="K60" s="30" t="s">
        <v>41</v>
      </c>
      <c r="L60" s="28">
        <v>462564.29</v>
      </c>
      <c r="M60" s="30">
        <v>43389</v>
      </c>
      <c r="N60" s="76" t="s">
        <v>65</v>
      </c>
      <c r="O60" s="54">
        <v>0</v>
      </c>
      <c r="P60" s="41">
        <v>0</v>
      </c>
      <c r="Q60" s="42" t="s">
        <v>34</v>
      </c>
      <c r="R60" s="54">
        <f t="shared" si="8"/>
        <v>0</v>
      </c>
      <c r="S60" s="94">
        <f t="shared" si="8"/>
        <v>0</v>
      </c>
      <c r="T60" s="81">
        <f t="shared" si="8"/>
        <v>0</v>
      </c>
      <c r="U60" s="41">
        <f>112313.14+T60</f>
        <v>112313.14</v>
      </c>
      <c r="V60" s="43" t="s">
        <v>195</v>
      </c>
    </row>
    <row r="61" spans="1:22" s="13" customFormat="1" ht="79.5" customHeight="1">
      <c r="A61" s="52" t="s">
        <v>200</v>
      </c>
      <c r="B61" s="151"/>
      <c r="C61" s="179"/>
      <c r="D61" s="151"/>
      <c r="E61" s="171"/>
      <c r="F61" s="171"/>
      <c r="G61" s="52" t="s">
        <v>201</v>
      </c>
      <c r="H61" s="52" t="s">
        <v>202</v>
      </c>
      <c r="I61" s="37" t="s">
        <v>203</v>
      </c>
      <c r="J61" s="30">
        <v>40379</v>
      </c>
      <c r="K61" s="30" t="s">
        <v>41</v>
      </c>
      <c r="L61" s="28">
        <v>292807.05</v>
      </c>
      <c r="M61" s="30">
        <v>44275</v>
      </c>
      <c r="N61" s="52" t="s">
        <v>296</v>
      </c>
      <c r="O61" s="54">
        <v>27191.03</v>
      </c>
      <c r="P61" s="41">
        <v>0</v>
      </c>
      <c r="Q61" s="42" t="s">
        <v>34</v>
      </c>
      <c r="R61" s="54">
        <f>24725.82+0</f>
        <v>24725.82</v>
      </c>
      <c r="S61" s="94">
        <v>24725.82</v>
      </c>
      <c r="T61" s="81">
        <f>24725.82+0</f>
        <v>24725.82</v>
      </c>
      <c r="U61" s="41">
        <f>36692.33+T61</f>
        <v>61418.15</v>
      </c>
      <c r="V61" s="57" t="s">
        <v>47</v>
      </c>
    </row>
    <row r="62" spans="1:22" s="13" customFormat="1" ht="159.75" customHeight="1">
      <c r="A62" s="52" t="s">
        <v>158</v>
      </c>
      <c r="B62" s="149" t="s">
        <v>159</v>
      </c>
      <c r="C62" s="177" t="s">
        <v>160</v>
      </c>
      <c r="D62" s="149" t="s">
        <v>148</v>
      </c>
      <c r="E62" s="169">
        <v>487500</v>
      </c>
      <c r="F62" s="169">
        <v>48750</v>
      </c>
      <c r="G62" s="30" t="s">
        <v>161</v>
      </c>
      <c r="H62" s="52" t="s">
        <v>162</v>
      </c>
      <c r="I62" s="37" t="s">
        <v>163</v>
      </c>
      <c r="J62" s="30">
        <v>41837</v>
      </c>
      <c r="K62" s="30" t="s">
        <v>157</v>
      </c>
      <c r="L62" s="28">
        <v>464262.35</v>
      </c>
      <c r="M62" s="30">
        <v>43096</v>
      </c>
      <c r="N62" s="52" t="s">
        <v>205</v>
      </c>
      <c r="O62" s="54">
        <f>71954.18</f>
        <v>71954.18</v>
      </c>
      <c r="P62" s="41">
        <v>0</v>
      </c>
      <c r="Q62" s="42" t="s">
        <v>34</v>
      </c>
      <c r="R62" s="54">
        <f t="shared" si="8"/>
        <v>0</v>
      </c>
      <c r="S62" s="94">
        <f t="shared" si="8"/>
        <v>0</v>
      </c>
      <c r="T62" s="81">
        <f t="shared" si="8"/>
        <v>0</v>
      </c>
      <c r="U62" s="41">
        <f>7710.2+8166.24+77102.02+73496.15+84812.22+22839.48+T62</f>
        <v>274126.31</v>
      </c>
      <c r="V62" s="43" t="s">
        <v>268</v>
      </c>
    </row>
    <row r="63" spans="1:22" s="13" customFormat="1" ht="159.75" customHeight="1">
      <c r="A63" s="52" t="s">
        <v>164</v>
      </c>
      <c r="B63" s="151"/>
      <c r="C63" s="179"/>
      <c r="D63" s="151"/>
      <c r="E63" s="171"/>
      <c r="F63" s="171"/>
      <c r="G63" s="30" t="s">
        <v>165</v>
      </c>
      <c r="H63" s="30" t="s">
        <v>166</v>
      </c>
      <c r="I63" s="30" t="s">
        <v>167</v>
      </c>
      <c r="J63" s="30">
        <v>43661</v>
      </c>
      <c r="K63" s="30" t="s">
        <v>297</v>
      </c>
      <c r="L63" s="44">
        <v>230087.16</v>
      </c>
      <c r="M63" s="79">
        <v>44355</v>
      </c>
      <c r="N63" s="52" t="s">
        <v>141</v>
      </c>
      <c r="O63" s="54">
        <v>0</v>
      </c>
      <c r="P63" s="41">
        <v>0</v>
      </c>
      <c r="Q63" s="42" t="s">
        <v>34</v>
      </c>
      <c r="R63" s="54">
        <f aca="true" t="shared" si="9" ref="R63:T64">0+0</f>
        <v>0</v>
      </c>
      <c r="S63" s="94">
        <f t="shared" si="8"/>
        <v>0</v>
      </c>
      <c r="T63" s="81">
        <f t="shared" si="9"/>
        <v>0</v>
      </c>
      <c r="U63" s="41">
        <f>35717.99+121814.12+T63</f>
        <v>157532.11</v>
      </c>
      <c r="V63" s="57" t="s">
        <v>224</v>
      </c>
    </row>
    <row r="64" spans="1:22" s="13" customFormat="1" ht="189.75" customHeight="1">
      <c r="A64" s="52" t="s">
        <v>168</v>
      </c>
      <c r="B64" s="52" t="s">
        <v>169</v>
      </c>
      <c r="C64" s="37" t="s">
        <v>170</v>
      </c>
      <c r="D64" s="52" t="s">
        <v>148</v>
      </c>
      <c r="E64" s="45">
        <f>3000000-2591233</f>
        <v>408767</v>
      </c>
      <c r="F64" s="45">
        <v>681.32</v>
      </c>
      <c r="G64" s="30" t="s">
        <v>171</v>
      </c>
      <c r="H64" s="52" t="s">
        <v>172</v>
      </c>
      <c r="I64" s="37" t="s">
        <v>173</v>
      </c>
      <c r="J64" s="30">
        <v>43108</v>
      </c>
      <c r="K64" s="30" t="s">
        <v>184</v>
      </c>
      <c r="L64" s="28">
        <v>464262.35</v>
      </c>
      <c r="M64" s="30">
        <v>43838</v>
      </c>
      <c r="N64" s="52" t="s">
        <v>298</v>
      </c>
      <c r="O64" s="54">
        <v>0</v>
      </c>
      <c r="P64" s="41">
        <v>0</v>
      </c>
      <c r="Q64" s="42" t="s">
        <v>34</v>
      </c>
      <c r="R64" s="41">
        <f t="shared" si="9"/>
        <v>0</v>
      </c>
      <c r="S64" s="41">
        <f t="shared" si="8"/>
        <v>0</v>
      </c>
      <c r="T64" s="41">
        <f t="shared" si="9"/>
        <v>0</v>
      </c>
      <c r="U64" s="41">
        <f>111286.09+63093.14+64047.11+76638.7+T64</f>
        <v>315065.04</v>
      </c>
      <c r="V64" s="57" t="s">
        <v>223</v>
      </c>
    </row>
    <row r="65" spans="1:22" s="13" customFormat="1" ht="120" customHeight="1">
      <c r="A65" s="52" t="s">
        <v>174</v>
      </c>
      <c r="B65" s="50" t="s">
        <v>175</v>
      </c>
      <c r="C65" s="51" t="s">
        <v>176</v>
      </c>
      <c r="D65" s="50" t="s">
        <v>148</v>
      </c>
      <c r="E65" s="49">
        <v>1008477.6</v>
      </c>
      <c r="F65" s="49">
        <v>1070</v>
      </c>
      <c r="G65" s="30" t="s">
        <v>177</v>
      </c>
      <c r="H65" s="52" t="s">
        <v>178</v>
      </c>
      <c r="I65" s="37" t="s">
        <v>179</v>
      </c>
      <c r="J65" s="30">
        <v>43409</v>
      </c>
      <c r="K65" s="30" t="s">
        <v>35</v>
      </c>
      <c r="L65" s="28">
        <v>1746130.1</v>
      </c>
      <c r="M65" s="30">
        <v>43759</v>
      </c>
      <c r="N65" s="52" t="s">
        <v>194</v>
      </c>
      <c r="O65" s="54">
        <v>0</v>
      </c>
      <c r="P65" s="41">
        <v>0</v>
      </c>
      <c r="Q65" s="42" t="s">
        <v>34</v>
      </c>
      <c r="R65" s="54">
        <f t="shared" si="8"/>
        <v>0</v>
      </c>
      <c r="S65" s="94">
        <f t="shared" si="8"/>
        <v>0</v>
      </c>
      <c r="T65" s="81">
        <f t="shared" si="8"/>
        <v>0</v>
      </c>
      <c r="U65" s="41">
        <f>0+56207.44+T65</f>
        <v>56207.44</v>
      </c>
      <c r="V65" s="57" t="s">
        <v>375</v>
      </c>
    </row>
    <row r="66" spans="1:22" s="13" customFormat="1" ht="120" customHeight="1">
      <c r="A66" s="52" t="s">
        <v>180</v>
      </c>
      <c r="B66" s="52" t="s">
        <v>181</v>
      </c>
      <c r="C66" s="37" t="s">
        <v>182</v>
      </c>
      <c r="D66" s="52" t="s">
        <v>148</v>
      </c>
      <c r="E66" s="45">
        <v>295000</v>
      </c>
      <c r="F66" s="45">
        <v>5000</v>
      </c>
      <c r="G66" s="52" t="s">
        <v>139</v>
      </c>
      <c r="H66" s="52" t="s">
        <v>120</v>
      </c>
      <c r="I66" s="52" t="s">
        <v>183</v>
      </c>
      <c r="J66" s="30">
        <v>43584</v>
      </c>
      <c r="K66" s="52" t="s">
        <v>300</v>
      </c>
      <c r="L66" s="28">
        <v>299227.98</v>
      </c>
      <c r="M66" s="52" t="s">
        <v>60</v>
      </c>
      <c r="N66" s="52" t="s">
        <v>301</v>
      </c>
      <c r="O66" s="54">
        <v>0</v>
      </c>
      <c r="P66" s="46">
        <v>0</v>
      </c>
      <c r="Q66" s="42" t="s">
        <v>34</v>
      </c>
      <c r="R66" s="54">
        <f aca="true" t="shared" si="10" ref="R66:T67">0+0</f>
        <v>0</v>
      </c>
      <c r="S66" s="94">
        <f t="shared" si="8"/>
        <v>0</v>
      </c>
      <c r="T66" s="81">
        <f t="shared" si="10"/>
        <v>0</v>
      </c>
      <c r="U66" s="41">
        <f>104004+60121.48+T66</f>
        <v>164125.48</v>
      </c>
      <c r="V66" s="59" t="s">
        <v>376</v>
      </c>
    </row>
    <row r="67" spans="1:22" s="13" customFormat="1" ht="120" customHeight="1">
      <c r="A67" s="52" t="s">
        <v>185</v>
      </c>
      <c r="B67" s="52" t="s">
        <v>186</v>
      </c>
      <c r="C67" s="37" t="s">
        <v>187</v>
      </c>
      <c r="D67" s="52" t="s">
        <v>148</v>
      </c>
      <c r="E67" s="45">
        <v>345000</v>
      </c>
      <c r="F67" s="45">
        <v>74173.26</v>
      </c>
      <c r="G67" s="52" t="s">
        <v>188</v>
      </c>
      <c r="H67" s="52" t="s">
        <v>110</v>
      </c>
      <c r="I67" s="52" t="s">
        <v>189</v>
      </c>
      <c r="J67" s="30">
        <v>43628</v>
      </c>
      <c r="K67" s="52" t="s">
        <v>41</v>
      </c>
      <c r="L67" s="28">
        <f>419173.26+126167.93</f>
        <v>545341.19</v>
      </c>
      <c r="M67" s="79">
        <v>44439</v>
      </c>
      <c r="N67" s="52" t="s">
        <v>302</v>
      </c>
      <c r="O67" s="54">
        <v>0</v>
      </c>
      <c r="P67" s="46">
        <v>0</v>
      </c>
      <c r="Q67" s="42" t="s">
        <v>34</v>
      </c>
      <c r="R67" s="54">
        <f t="shared" si="10"/>
        <v>0</v>
      </c>
      <c r="S67" s="94">
        <f t="shared" si="8"/>
        <v>0</v>
      </c>
      <c r="T67" s="81">
        <f t="shared" si="10"/>
        <v>0</v>
      </c>
      <c r="U67" s="41">
        <f>0+212067.13+288422.92+T67</f>
        <v>500490.05</v>
      </c>
      <c r="V67" s="66" t="s">
        <v>224</v>
      </c>
    </row>
    <row r="68" spans="1:22" s="13" customFormat="1" ht="189.75" customHeight="1">
      <c r="A68" s="52" t="s">
        <v>212</v>
      </c>
      <c r="B68" s="52" t="s">
        <v>213</v>
      </c>
      <c r="C68" s="37" t="s">
        <v>214</v>
      </c>
      <c r="D68" s="52" t="s">
        <v>148</v>
      </c>
      <c r="E68" s="45">
        <v>222857.14</v>
      </c>
      <c r="F68" s="45">
        <v>300</v>
      </c>
      <c r="G68" s="52" t="s">
        <v>215</v>
      </c>
      <c r="H68" s="52" t="s">
        <v>216</v>
      </c>
      <c r="I68" s="52" t="s">
        <v>217</v>
      </c>
      <c r="J68" s="30">
        <v>44090</v>
      </c>
      <c r="K68" s="52" t="s">
        <v>35</v>
      </c>
      <c r="L68" s="28">
        <v>163992.97</v>
      </c>
      <c r="M68" s="30" t="s">
        <v>60</v>
      </c>
      <c r="N68" s="52" t="s">
        <v>70</v>
      </c>
      <c r="O68" s="54">
        <v>0</v>
      </c>
      <c r="P68" s="46">
        <v>0</v>
      </c>
      <c r="Q68" s="42" t="s">
        <v>34</v>
      </c>
      <c r="R68" s="54">
        <f t="shared" si="8"/>
        <v>0</v>
      </c>
      <c r="S68" s="94">
        <f t="shared" si="8"/>
        <v>0</v>
      </c>
      <c r="T68" s="81">
        <f t="shared" si="8"/>
        <v>0</v>
      </c>
      <c r="U68" s="41">
        <f>0+T68</f>
        <v>0</v>
      </c>
      <c r="V68" s="67" t="s">
        <v>377</v>
      </c>
    </row>
    <row r="69" spans="1:22" s="13" customFormat="1" ht="180" customHeight="1">
      <c r="A69" s="52" t="s">
        <v>219</v>
      </c>
      <c r="B69" s="52" t="s">
        <v>218</v>
      </c>
      <c r="C69" s="37" t="s">
        <v>220</v>
      </c>
      <c r="D69" s="52" t="s">
        <v>148</v>
      </c>
      <c r="E69" s="45">
        <v>222857.14</v>
      </c>
      <c r="F69" s="45">
        <v>300</v>
      </c>
      <c r="G69" s="52" t="s">
        <v>221</v>
      </c>
      <c r="H69" s="52" t="s">
        <v>222</v>
      </c>
      <c r="I69" s="52" t="s">
        <v>70</v>
      </c>
      <c r="J69" s="30" t="s">
        <v>70</v>
      </c>
      <c r="K69" s="52" t="s">
        <v>42</v>
      </c>
      <c r="L69" s="28">
        <v>220865.92</v>
      </c>
      <c r="M69" s="30" t="s">
        <v>60</v>
      </c>
      <c r="N69" s="52" t="s">
        <v>70</v>
      </c>
      <c r="O69" s="54">
        <v>0</v>
      </c>
      <c r="P69" s="46">
        <v>0</v>
      </c>
      <c r="Q69" s="42" t="s">
        <v>34</v>
      </c>
      <c r="R69" s="54">
        <f t="shared" si="8"/>
        <v>0</v>
      </c>
      <c r="S69" s="94">
        <f t="shared" si="8"/>
        <v>0</v>
      </c>
      <c r="T69" s="81">
        <f t="shared" si="8"/>
        <v>0</v>
      </c>
      <c r="U69" s="41">
        <f>0+T69</f>
        <v>0</v>
      </c>
      <c r="V69" s="67" t="s">
        <v>378</v>
      </c>
    </row>
    <row r="70" spans="1:22" s="13" customFormat="1" ht="219.75" customHeight="1">
      <c r="A70" s="76" t="s">
        <v>270</v>
      </c>
      <c r="B70" s="76" t="s">
        <v>269</v>
      </c>
      <c r="C70" s="37" t="s">
        <v>271</v>
      </c>
      <c r="D70" s="76" t="s">
        <v>148</v>
      </c>
      <c r="E70" s="45">
        <v>222857.14</v>
      </c>
      <c r="F70" s="45">
        <v>300</v>
      </c>
      <c r="G70" s="76" t="s">
        <v>272</v>
      </c>
      <c r="H70" s="76" t="s">
        <v>115</v>
      </c>
      <c r="I70" s="76" t="s">
        <v>273</v>
      </c>
      <c r="J70" s="30">
        <v>44470</v>
      </c>
      <c r="K70" s="76" t="s">
        <v>43</v>
      </c>
      <c r="L70" s="28">
        <v>222774.02</v>
      </c>
      <c r="M70" s="30" t="s">
        <v>60</v>
      </c>
      <c r="N70" s="76" t="s">
        <v>70</v>
      </c>
      <c r="O70" s="77">
        <v>0</v>
      </c>
      <c r="P70" s="46">
        <v>0</v>
      </c>
      <c r="Q70" s="42" t="s">
        <v>34</v>
      </c>
      <c r="R70" s="77">
        <f t="shared" si="8"/>
        <v>0</v>
      </c>
      <c r="S70" s="94">
        <f t="shared" si="8"/>
        <v>0</v>
      </c>
      <c r="T70" s="81">
        <f t="shared" si="8"/>
        <v>0</v>
      </c>
      <c r="U70" s="41">
        <f>0+T70</f>
        <v>0</v>
      </c>
      <c r="V70" s="75" t="s">
        <v>379</v>
      </c>
    </row>
    <row r="71" spans="1:22" s="13" customFormat="1" ht="180" customHeight="1">
      <c r="A71" s="76" t="s">
        <v>277</v>
      </c>
      <c r="B71" s="76" t="s">
        <v>275</v>
      </c>
      <c r="C71" s="37" t="s">
        <v>276</v>
      </c>
      <c r="D71" s="76" t="s">
        <v>274</v>
      </c>
      <c r="E71" s="45">
        <v>583662.81</v>
      </c>
      <c r="F71" s="45">
        <v>642.74</v>
      </c>
      <c r="G71" s="76" t="s">
        <v>221</v>
      </c>
      <c r="H71" s="76" t="s">
        <v>222</v>
      </c>
      <c r="I71" s="76" t="s">
        <v>278</v>
      </c>
      <c r="J71" s="30">
        <v>44285</v>
      </c>
      <c r="K71" s="76" t="s">
        <v>42</v>
      </c>
      <c r="L71" s="28">
        <v>584305.55</v>
      </c>
      <c r="M71" s="30" t="s">
        <v>60</v>
      </c>
      <c r="N71" s="76" t="s">
        <v>70</v>
      </c>
      <c r="O71" s="77">
        <v>0</v>
      </c>
      <c r="P71" s="46">
        <v>0</v>
      </c>
      <c r="Q71" s="42" t="s">
        <v>34</v>
      </c>
      <c r="R71" s="77">
        <f t="shared" si="8"/>
        <v>0</v>
      </c>
      <c r="S71" s="94">
        <f t="shared" si="8"/>
        <v>0</v>
      </c>
      <c r="T71" s="81">
        <f t="shared" si="8"/>
        <v>0</v>
      </c>
      <c r="U71" s="41">
        <f>0+T71</f>
        <v>0</v>
      </c>
      <c r="V71" s="67" t="s">
        <v>377</v>
      </c>
    </row>
    <row r="72" spans="1:22" s="13" customFormat="1" ht="180" customHeight="1">
      <c r="A72" s="76" t="s">
        <v>281</v>
      </c>
      <c r="B72" s="76" t="s">
        <v>279</v>
      </c>
      <c r="C72" s="37" t="s">
        <v>285</v>
      </c>
      <c r="D72" s="76" t="s">
        <v>274</v>
      </c>
      <c r="E72" s="78" t="s">
        <v>280</v>
      </c>
      <c r="F72" s="45">
        <v>910.83</v>
      </c>
      <c r="G72" s="76" t="s">
        <v>283</v>
      </c>
      <c r="H72" s="76" t="s">
        <v>284</v>
      </c>
      <c r="I72" s="76" t="s">
        <v>282</v>
      </c>
      <c r="J72" s="30">
        <v>44368</v>
      </c>
      <c r="K72" s="76" t="s">
        <v>44</v>
      </c>
      <c r="L72" s="28">
        <v>547199.57</v>
      </c>
      <c r="M72" s="30" t="s">
        <v>60</v>
      </c>
      <c r="N72" s="76" t="s">
        <v>70</v>
      </c>
      <c r="O72" s="77">
        <v>0</v>
      </c>
      <c r="P72" s="46">
        <v>0</v>
      </c>
      <c r="Q72" s="42" t="s">
        <v>34</v>
      </c>
      <c r="R72" s="77">
        <f t="shared" si="8"/>
        <v>0</v>
      </c>
      <c r="S72" s="94">
        <f t="shared" si="8"/>
        <v>0</v>
      </c>
      <c r="T72" s="81">
        <f t="shared" si="8"/>
        <v>0</v>
      </c>
      <c r="U72" s="41">
        <f>0+T72</f>
        <v>0</v>
      </c>
      <c r="V72" s="67" t="s">
        <v>378</v>
      </c>
    </row>
  </sheetData>
  <sheetProtection selectLockedCells="1" selectUnlockedCells="1"/>
  <mergeCells count="62">
    <mergeCell ref="F62:F63"/>
    <mergeCell ref="B28:B29"/>
    <mergeCell ref="C28:C29"/>
    <mergeCell ref="D28:D29"/>
    <mergeCell ref="E28:E29"/>
    <mergeCell ref="F28:F29"/>
    <mergeCell ref="B59:B61"/>
    <mergeCell ref="C59:C61"/>
    <mergeCell ref="B62:B63"/>
    <mergeCell ref="C62:C63"/>
    <mergeCell ref="D62:D63"/>
    <mergeCell ref="E62:E63"/>
    <mergeCell ref="V10:V12"/>
    <mergeCell ref="B17:B18"/>
    <mergeCell ref="C24:C25"/>
    <mergeCell ref="D24:D25"/>
    <mergeCell ref="E24:E25"/>
    <mergeCell ref="B19:B21"/>
    <mergeCell ref="C17:C18"/>
    <mergeCell ref="D17:D18"/>
    <mergeCell ref="D59:D61"/>
    <mergeCell ref="E59:E61"/>
    <mergeCell ref="C14:C16"/>
    <mergeCell ref="C19:C21"/>
    <mergeCell ref="D14:D16"/>
    <mergeCell ref="E19:E21"/>
    <mergeCell ref="B24:B25"/>
    <mergeCell ref="N11:O11"/>
    <mergeCell ref="E17:E18"/>
    <mergeCell ref="F17:F18"/>
    <mergeCell ref="B11:B12"/>
    <mergeCell ref="E14:E16"/>
    <mergeCell ref="S11:S12"/>
    <mergeCell ref="G11:H11"/>
    <mergeCell ref="I8:O8"/>
    <mergeCell ref="Q8:U8"/>
    <mergeCell ref="F59:F61"/>
    <mergeCell ref="B22:B23"/>
    <mergeCell ref="E22:E23"/>
    <mergeCell ref="D22:D23"/>
    <mergeCell ref="F14:F16"/>
    <mergeCell ref="I11:M11"/>
    <mergeCell ref="A1:V1"/>
    <mergeCell ref="A2:V2"/>
    <mergeCell ref="A4:V4"/>
    <mergeCell ref="A10:O10"/>
    <mergeCell ref="Q10:T10"/>
    <mergeCell ref="F24:F25"/>
    <mergeCell ref="F19:F21"/>
    <mergeCell ref="P7:U7"/>
    <mergeCell ref="A11:A12"/>
    <mergeCell ref="C11:F11"/>
    <mergeCell ref="I7:O7"/>
    <mergeCell ref="U10:U12"/>
    <mergeCell ref="Q11:Q12"/>
    <mergeCell ref="R11:R12"/>
    <mergeCell ref="B14:B16"/>
    <mergeCell ref="C22:C23"/>
    <mergeCell ref="F22:F23"/>
    <mergeCell ref="P10:P12"/>
    <mergeCell ref="D19:D21"/>
    <mergeCell ref="T11:T12"/>
  </mergeCells>
  <printOptions horizontalCentered="1"/>
  <pageMargins left="0" right="0" top="0.31496062992125984" bottom="0.31496062992125984" header="0.11811023622047245" footer="0.11811023622047245"/>
  <pageSetup fitToHeight="6" fitToWidth="1" horizontalDpi="300" verticalDpi="3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zoomScale="60" zoomScaleNormal="60" zoomScalePageLayoutView="0" workbookViewId="0" topLeftCell="A1">
      <pane ySplit="13" topLeftCell="A14" activePane="bottomLeft" state="frozen"/>
      <selection pane="topLeft" activeCell="A1" sqref="A1"/>
      <selection pane="bottomLeft" activeCell="A1" sqref="A1:V1"/>
    </sheetView>
  </sheetViews>
  <sheetFormatPr defaultColWidth="8.7109375" defaultRowHeight="15"/>
  <cols>
    <col min="1" max="1" width="18.57421875" style="2" customWidth="1"/>
    <col min="2" max="2" width="21.8515625" style="2" customWidth="1"/>
    <col min="3" max="3" width="17.28125" style="4" customWidth="1"/>
    <col min="4" max="4" width="19.421875" style="4" customWidth="1"/>
    <col min="5" max="5" width="21.28125" style="4" customWidth="1"/>
    <col min="6" max="6" width="19.421875" style="4" customWidth="1"/>
    <col min="7" max="7" width="19.421875" style="6" customWidth="1"/>
    <col min="8" max="8" width="22.140625" style="4" customWidth="1"/>
    <col min="9" max="9" width="11.140625" style="6" customWidth="1"/>
    <col min="10" max="10" width="16.00390625" style="6" customWidth="1"/>
    <col min="11" max="11" width="19.421875" style="6" customWidth="1"/>
    <col min="12" max="12" width="21.57421875" style="6" customWidth="1"/>
    <col min="13" max="13" width="21.7109375" style="6" customWidth="1"/>
    <col min="14" max="14" width="19.421875" style="6" customWidth="1"/>
    <col min="15" max="15" width="19.421875" style="4" customWidth="1"/>
    <col min="16" max="16" width="19.421875" style="6" customWidth="1"/>
    <col min="17" max="17" width="19.421875" style="4" customWidth="1"/>
    <col min="18" max="18" width="22.00390625" style="4" customWidth="1"/>
    <col min="19" max="19" width="21.57421875" style="4" customWidth="1"/>
    <col min="20" max="20" width="20.8515625" style="6" customWidth="1"/>
    <col min="21" max="21" width="21.28125" style="4" customWidth="1"/>
    <col min="22" max="22" width="27.8515625" style="5" customWidth="1"/>
    <col min="23" max="23" width="19.140625" style="1" customWidth="1"/>
    <col min="24" max="16384" width="8.7109375" style="1" customWidth="1"/>
  </cols>
  <sheetData>
    <row r="1" spans="1:22" ht="18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ht="18.7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ht="15">
      <c r="P3" s="4"/>
    </row>
    <row r="4" spans="1:22" ht="18.75">
      <c r="A4" s="158" t="s">
        <v>307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16:22" ht="15">
      <c r="P5" s="4"/>
      <c r="Q5" s="6"/>
      <c r="R5" s="6"/>
      <c r="T5" s="4"/>
      <c r="U5" s="5"/>
      <c r="V5" s="12"/>
    </row>
    <row r="6" spans="6:22" ht="15">
      <c r="F6" s="6"/>
      <c r="P6" s="4"/>
      <c r="Q6" s="6"/>
      <c r="R6" s="8"/>
      <c r="S6" s="5"/>
      <c r="V6" s="12"/>
    </row>
    <row r="7" spans="1:23" ht="15">
      <c r="A7" s="25" t="s">
        <v>2</v>
      </c>
      <c r="C7" s="7">
        <v>210101</v>
      </c>
      <c r="E7" s="35" t="s">
        <v>3</v>
      </c>
      <c r="F7" s="47">
        <v>2022</v>
      </c>
      <c r="I7" s="142" t="s">
        <v>380</v>
      </c>
      <c r="J7" s="142"/>
      <c r="K7" s="142"/>
      <c r="L7" s="142"/>
      <c r="M7" s="142"/>
      <c r="N7" s="142"/>
      <c r="O7" s="142"/>
      <c r="P7" s="142" t="s">
        <v>380</v>
      </c>
      <c r="Q7" s="142"/>
      <c r="R7" s="142"/>
      <c r="S7" s="142"/>
      <c r="T7" s="142"/>
      <c r="U7" s="142"/>
      <c r="V7" s="142"/>
      <c r="W7" s="40"/>
    </row>
    <row r="8" spans="1:23" ht="15">
      <c r="A8" s="25" t="s">
        <v>4</v>
      </c>
      <c r="C8" s="7" t="s">
        <v>5</v>
      </c>
      <c r="E8" s="36" t="s">
        <v>6</v>
      </c>
      <c r="F8" s="47" t="s">
        <v>381</v>
      </c>
      <c r="G8" s="48"/>
      <c r="I8" s="142" t="s">
        <v>144</v>
      </c>
      <c r="J8" s="142"/>
      <c r="K8" s="142"/>
      <c r="L8" s="142"/>
      <c r="M8" s="142"/>
      <c r="N8" s="142"/>
      <c r="O8" s="142"/>
      <c r="P8" s="142" t="s">
        <v>144</v>
      </c>
      <c r="Q8" s="142"/>
      <c r="R8" s="142"/>
      <c r="S8" s="142"/>
      <c r="T8" s="142"/>
      <c r="U8" s="142"/>
      <c r="V8" s="142"/>
      <c r="W8" s="40"/>
    </row>
    <row r="9" ht="15">
      <c r="P9" s="4"/>
    </row>
    <row r="10" spans="1:22" ht="15" customHeight="1">
      <c r="A10" s="159" t="s">
        <v>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43" t="s">
        <v>66</v>
      </c>
      <c r="Q10" s="160" t="s">
        <v>8</v>
      </c>
      <c r="R10" s="161"/>
      <c r="S10" s="161"/>
      <c r="T10" s="162"/>
      <c r="U10" s="143" t="s">
        <v>9</v>
      </c>
      <c r="V10" s="143" t="s">
        <v>10</v>
      </c>
    </row>
    <row r="11" spans="1:22" ht="15" customHeight="1">
      <c r="A11" s="167" t="s">
        <v>11</v>
      </c>
      <c r="B11" s="175" t="s">
        <v>12</v>
      </c>
      <c r="C11" s="160" t="s">
        <v>13</v>
      </c>
      <c r="D11" s="161"/>
      <c r="E11" s="161"/>
      <c r="F11" s="162"/>
      <c r="G11" s="160" t="s">
        <v>14</v>
      </c>
      <c r="H11" s="162"/>
      <c r="I11" s="160" t="s">
        <v>15</v>
      </c>
      <c r="J11" s="161"/>
      <c r="K11" s="161"/>
      <c r="L11" s="161"/>
      <c r="M11" s="162"/>
      <c r="N11" s="160" t="s">
        <v>16</v>
      </c>
      <c r="O11" s="162"/>
      <c r="P11" s="154"/>
      <c r="Q11" s="145" t="s">
        <v>17</v>
      </c>
      <c r="R11" s="147" t="s">
        <v>18</v>
      </c>
      <c r="S11" s="147" t="s">
        <v>19</v>
      </c>
      <c r="T11" s="155" t="s">
        <v>20</v>
      </c>
      <c r="U11" s="144"/>
      <c r="V11" s="144"/>
    </row>
    <row r="12" spans="1:22" ht="90" customHeight="1">
      <c r="A12" s="168"/>
      <c r="B12" s="176"/>
      <c r="C12" s="103" t="s">
        <v>21</v>
      </c>
      <c r="D12" s="100" t="s">
        <v>22</v>
      </c>
      <c r="E12" s="100" t="s">
        <v>23</v>
      </c>
      <c r="F12" s="104" t="s">
        <v>24</v>
      </c>
      <c r="G12" s="103" t="s">
        <v>25</v>
      </c>
      <c r="H12" s="104" t="s">
        <v>26</v>
      </c>
      <c r="I12" s="10" t="s">
        <v>21</v>
      </c>
      <c r="J12" s="11" t="s">
        <v>27</v>
      </c>
      <c r="K12" s="11" t="s">
        <v>28</v>
      </c>
      <c r="L12" s="11" t="s">
        <v>29</v>
      </c>
      <c r="M12" s="9" t="s">
        <v>142</v>
      </c>
      <c r="N12" s="10" t="s">
        <v>30</v>
      </c>
      <c r="O12" s="9" t="s">
        <v>31</v>
      </c>
      <c r="P12" s="154"/>
      <c r="Q12" s="146"/>
      <c r="R12" s="148"/>
      <c r="S12" s="148"/>
      <c r="T12" s="156"/>
      <c r="U12" s="144"/>
      <c r="V12" s="144"/>
    </row>
    <row r="13" spans="1:22" ht="15.75">
      <c r="A13" s="26">
        <v>-5</v>
      </c>
      <c r="B13" s="26">
        <v>-6</v>
      </c>
      <c r="C13" s="18">
        <v>-7</v>
      </c>
      <c r="D13" s="19">
        <v>-8</v>
      </c>
      <c r="E13" s="19">
        <v>-9</v>
      </c>
      <c r="F13" s="20">
        <v>-10</v>
      </c>
      <c r="G13" s="18">
        <v>-11</v>
      </c>
      <c r="H13" s="20">
        <v>-12</v>
      </c>
      <c r="I13" s="21">
        <v>-13</v>
      </c>
      <c r="J13" s="22">
        <v>-14</v>
      </c>
      <c r="K13" s="22">
        <v>-15</v>
      </c>
      <c r="L13" s="22">
        <v>-16</v>
      </c>
      <c r="M13" s="23">
        <v>-17</v>
      </c>
      <c r="N13" s="21">
        <v>-18</v>
      </c>
      <c r="O13" s="23">
        <v>-19</v>
      </c>
      <c r="P13" s="17">
        <v>-20</v>
      </c>
      <c r="Q13" s="18">
        <v>-21</v>
      </c>
      <c r="R13" s="19">
        <v>-22</v>
      </c>
      <c r="S13" s="19">
        <v>-23</v>
      </c>
      <c r="T13" s="20">
        <v>-24</v>
      </c>
      <c r="U13" s="17">
        <v>-25</v>
      </c>
      <c r="V13" s="17">
        <v>-26</v>
      </c>
    </row>
    <row r="14" spans="1:22" s="2" customFormat="1" ht="90" customHeight="1">
      <c r="A14" s="55" t="s">
        <v>76</v>
      </c>
      <c r="B14" s="180" t="s">
        <v>36</v>
      </c>
      <c r="C14" s="183" t="s">
        <v>67</v>
      </c>
      <c r="D14" s="183" t="s">
        <v>32</v>
      </c>
      <c r="E14" s="172">
        <v>487500</v>
      </c>
      <c r="F14" s="172">
        <v>54200</v>
      </c>
      <c r="G14" s="55" t="s">
        <v>37</v>
      </c>
      <c r="H14" s="55" t="s">
        <v>38</v>
      </c>
      <c r="I14" s="113" t="s">
        <v>39</v>
      </c>
      <c r="J14" s="55" t="s">
        <v>40</v>
      </c>
      <c r="K14" s="113" t="s">
        <v>297</v>
      </c>
      <c r="L14" s="114">
        <v>536844.8</v>
      </c>
      <c r="M14" s="115">
        <v>40510</v>
      </c>
      <c r="N14" s="113" t="s">
        <v>157</v>
      </c>
      <c r="O14" s="102">
        <v>0</v>
      </c>
      <c r="P14" s="102">
        <v>0</v>
      </c>
      <c r="Q14" s="55" t="s">
        <v>34</v>
      </c>
      <c r="R14" s="102">
        <f>0+0</f>
        <v>0</v>
      </c>
      <c r="S14" s="102">
        <f>0+0</f>
        <v>0</v>
      </c>
      <c r="T14" s="102">
        <f>R14+S14-S14</f>
        <v>0</v>
      </c>
      <c r="U14" s="102">
        <f>100702.03+T14</f>
        <v>100702.03</v>
      </c>
      <c r="V14" s="55" t="s">
        <v>95</v>
      </c>
    </row>
    <row r="15" spans="1:22" s="2" customFormat="1" ht="90" customHeight="1">
      <c r="A15" s="55" t="s">
        <v>122</v>
      </c>
      <c r="B15" s="181"/>
      <c r="C15" s="184"/>
      <c r="D15" s="184"/>
      <c r="E15" s="173"/>
      <c r="F15" s="173"/>
      <c r="G15" s="55" t="s">
        <v>117</v>
      </c>
      <c r="H15" s="55" t="s">
        <v>118</v>
      </c>
      <c r="I15" s="113" t="s">
        <v>121</v>
      </c>
      <c r="J15" s="79">
        <v>42748</v>
      </c>
      <c r="K15" s="113" t="s">
        <v>267</v>
      </c>
      <c r="L15" s="114">
        <v>329712.56</v>
      </c>
      <c r="M15" s="55" t="s">
        <v>45</v>
      </c>
      <c r="N15" s="55" t="s">
        <v>45</v>
      </c>
      <c r="O15" s="102">
        <v>0</v>
      </c>
      <c r="P15" s="102">
        <v>0</v>
      </c>
      <c r="Q15" s="55" t="s">
        <v>34</v>
      </c>
      <c r="R15" s="102">
        <f>0+0</f>
        <v>0</v>
      </c>
      <c r="S15" s="102">
        <f>0+0</f>
        <v>0</v>
      </c>
      <c r="T15" s="102">
        <f aca="true" t="shared" si="0" ref="T15:T77">R15+S15-S15</f>
        <v>0</v>
      </c>
      <c r="U15" s="102">
        <f>0+T15</f>
        <v>0</v>
      </c>
      <c r="V15" s="55" t="s">
        <v>124</v>
      </c>
    </row>
    <row r="16" spans="1:22" s="2" customFormat="1" ht="90" customHeight="1">
      <c r="A16" s="55" t="s">
        <v>123</v>
      </c>
      <c r="B16" s="181"/>
      <c r="C16" s="184"/>
      <c r="D16" s="184"/>
      <c r="E16" s="173"/>
      <c r="F16" s="173"/>
      <c r="G16" s="55" t="s">
        <v>119</v>
      </c>
      <c r="H16" s="55" t="s">
        <v>239</v>
      </c>
      <c r="I16" s="39" t="s">
        <v>140</v>
      </c>
      <c r="J16" s="38">
        <v>43612</v>
      </c>
      <c r="K16" s="113" t="s">
        <v>297</v>
      </c>
      <c r="L16" s="114">
        <v>367624.69</v>
      </c>
      <c r="M16" s="38">
        <v>43796</v>
      </c>
      <c r="N16" s="113" t="s">
        <v>287</v>
      </c>
      <c r="O16" s="102">
        <v>0</v>
      </c>
      <c r="P16" s="102">
        <v>0</v>
      </c>
      <c r="Q16" s="55" t="s">
        <v>34</v>
      </c>
      <c r="R16" s="102">
        <v>0</v>
      </c>
      <c r="S16" s="102">
        <v>0</v>
      </c>
      <c r="T16" s="102">
        <f t="shared" si="0"/>
        <v>0</v>
      </c>
      <c r="U16" s="102">
        <f>0+80715.03+15186.93+T16</f>
        <v>95901.95999999999</v>
      </c>
      <c r="V16" s="55" t="s">
        <v>382</v>
      </c>
    </row>
    <row r="17" spans="1:22" s="2" customFormat="1" ht="90" customHeight="1">
      <c r="A17" s="55" t="s">
        <v>383</v>
      </c>
      <c r="B17" s="182"/>
      <c r="C17" s="185"/>
      <c r="D17" s="185"/>
      <c r="E17" s="174"/>
      <c r="F17" s="174"/>
      <c r="G17" s="55" t="s">
        <v>384</v>
      </c>
      <c r="H17" s="55" t="s">
        <v>385</v>
      </c>
      <c r="I17" s="39" t="s">
        <v>386</v>
      </c>
      <c r="J17" s="38">
        <v>36707</v>
      </c>
      <c r="K17" s="113" t="s">
        <v>297</v>
      </c>
      <c r="L17" s="114">
        <f>313561.5+1917.06</f>
        <v>315478.56</v>
      </c>
      <c r="M17" s="55" t="s">
        <v>45</v>
      </c>
      <c r="N17" s="55" t="s">
        <v>45</v>
      </c>
      <c r="O17" s="102">
        <v>0</v>
      </c>
      <c r="P17" s="102">
        <v>0</v>
      </c>
      <c r="Q17" s="55" t="s">
        <v>34</v>
      </c>
      <c r="R17" s="102">
        <v>0</v>
      </c>
      <c r="S17" s="102">
        <v>0</v>
      </c>
      <c r="T17" s="102">
        <f>R17+S17-S17</f>
        <v>0</v>
      </c>
      <c r="U17" s="102">
        <f>0+T17</f>
        <v>0</v>
      </c>
      <c r="V17" s="55" t="s">
        <v>47</v>
      </c>
    </row>
    <row r="18" spans="1:22" s="2" customFormat="1" ht="90" customHeight="1">
      <c r="A18" s="55" t="s">
        <v>72</v>
      </c>
      <c r="B18" s="180" t="s">
        <v>49</v>
      </c>
      <c r="C18" s="180" t="s">
        <v>68</v>
      </c>
      <c r="D18" s="183" t="s">
        <v>32</v>
      </c>
      <c r="E18" s="172">
        <v>975000</v>
      </c>
      <c r="F18" s="172">
        <f>109999.99+123735.04</f>
        <v>233735.03</v>
      </c>
      <c r="G18" s="55" t="s">
        <v>50</v>
      </c>
      <c r="H18" s="55" t="s">
        <v>240</v>
      </c>
      <c r="I18" s="117" t="s">
        <v>51</v>
      </c>
      <c r="J18" s="115">
        <v>41450</v>
      </c>
      <c r="K18" s="113" t="s">
        <v>292</v>
      </c>
      <c r="L18" s="33">
        <v>1037686.18</v>
      </c>
      <c r="M18" s="115">
        <v>41726</v>
      </c>
      <c r="N18" s="113" t="s">
        <v>387</v>
      </c>
      <c r="O18" s="102">
        <v>0</v>
      </c>
      <c r="P18" s="102">
        <v>0</v>
      </c>
      <c r="Q18" s="55" t="s">
        <v>34</v>
      </c>
      <c r="R18" s="102">
        <f>0+0</f>
        <v>0</v>
      </c>
      <c r="S18" s="102">
        <f>0+0</f>
        <v>0</v>
      </c>
      <c r="T18" s="102">
        <f t="shared" si="0"/>
        <v>0</v>
      </c>
      <c r="U18" s="102">
        <v>421246.26</v>
      </c>
      <c r="V18" s="55" t="s">
        <v>95</v>
      </c>
    </row>
    <row r="19" spans="1:22" s="2" customFormat="1" ht="90" customHeight="1">
      <c r="A19" s="55" t="s">
        <v>94</v>
      </c>
      <c r="B19" s="182"/>
      <c r="C19" s="182"/>
      <c r="D19" s="185"/>
      <c r="E19" s="174"/>
      <c r="F19" s="174"/>
      <c r="G19" s="55" t="s">
        <v>92</v>
      </c>
      <c r="H19" s="55" t="s">
        <v>91</v>
      </c>
      <c r="I19" s="117" t="s">
        <v>93</v>
      </c>
      <c r="J19" s="115">
        <v>42964</v>
      </c>
      <c r="K19" s="113" t="s">
        <v>297</v>
      </c>
      <c r="L19" s="33">
        <f>540500.13</f>
        <v>540500.13</v>
      </c>
      <c r="M19" s="55" t="s">
        <v>45</v>
      </c>
      <c r="N19" s="113" t="s">
        <v>291</v>
      </c>
      <c r="O19" s="102">
        <v>123108.38</v>
      </c>
      <c r="P19" s="102">
        <v>0</v>
      </c>
      <c r="Q19" s="55" t="s">
        <v>34</v>
      </c>
      <c r="R19" s="102">
        <v>0</v>
      </c>
      <c r="S19" s="102">
        <v>0</v>
      </c>
      <c r="T19" s="102">
        <f t="shared" si="0"/>
        <v>0</v>
      </c>
      <c r="U19" s="102">
        <f>19305.43+60423.3+59048.16+5258.18+18206.19+38907.49+T19</f>
        <v>201148.75</v>
      </c>
      <c r="V19" s="55" t="s">
        <v>388</v>
      </c>
    </row>
    <row r="20" spans="1:22" s="3" customFormat="1" ht="159.75" customHeight="1">
      <c r="A20" s="55" t="s">
        <v>74</v>
      </c>
      <c r="B20" s="180" t="s">
        <v>143</v>
      </c>
      <c r="C20" s="180" t="s">
        <v>63</v>
      </c>
      <c r="D20" s="180" t="s">
        <v>32</v>
      </c>
      <c r="E20" s="186">
        <v>7000000</v>
      </c>
      <c r="F20" s="186">
        <v>368421.05</v>
      </c>
      <c r="G20" s="55" t="s">
        <v>58</v>
      </c>
      <c r="H20" s="55" t="s">
        <v>238</v>
      </c>
      <c r="I20" s="113" t="s">
        <v>64</v>
      </c>
      <c r="J20" s="115">
        <v>41609</v>
      </c>
      <c r="K20" s="113" t="s">
        <v>389</v>
      </c>
      <c r="L20" s="33">
        <v>444842.4</v>
      </c>
      <c r="M20" s="115">
        <v>41831</v>
      </c>
      <c r="N20" s="113" t="s">
        <v>353</v>
      </c>
      <c r="O20" s="102">
        <f>(-1)*96726.92</f>
        <v>-96726.92</v>
      </c>
      <c r="P20" s="102">
        <v>0</v>
      </c>
      <c r="Q20" s="55" t="s">
        <v>34</v>
      </c>
      <c r="R20" s="102">
        <f aca="true" t="shared" si="1" ref="R20:S23">0+0</f>
        <v>0</v>
      </c>
      <c r="S20" s="102">
        <f t="shared" si="1"/>
        <v>0</v>
      </c>
      <c r="T20" s="102">
        <f t="shared" si="0"/>
        <v>0</v>
      </c>
      <c r="U20" s="102">
        <f>203162.06+1202.33+1202.33+22844.28+22844.28-1202.33-4948.34+T20</f>
        <v>245104.61</v>
      </c>
      <c r="V20" s="55" t="s">
        <v>224</v>
      </c>
    </row>
    <row r="21" spans="1:22" s="2" customFormat="1" ht="159.75" customHeight="1">
      <c r="A21" s="119" t="s">
        <v>97</v>
      </c>
      <c r="B21" s="181"/>
      <c r="C21" s="181"/>
      <c r="D21" s="181"/>
      <c r="E21" s="187"/>
      <c r="F21" s="187"/>
      <c r="G21" s="55" t="s">
        <v>69</v>
      </c>
      <c r="H21" s="55" t="s">
        <v>75</v>
      </c>
      <c r="I21" s="113" t="s">
        <v>71</v>
      </c>
      <c r="J21" s="115">
        <v>42320</v>
      </c>
      <c r="K21" s="113" t="s">
        <v>157</v>
      </c>
      <c r="L21" s="33">
        <v>1349307.39</v>
      </c>
      <c r="M21" s="115">
        <v>42989</v>
      </c>
      <c r="N21" s="113" t="s">
        <v>290</v>
      </c>
      <c r="O21" s="102">
        <v>0</v>
      </c>
      <c r="P21" s="102">
        <v>0</v>
      </c>
      <c r="Q21" s="55" t="s">
        <v>34</v>
      </c>
      <c r="R21" s="102">
        <f t="shared" si="1"/>
        <v>0</v>
      </c>
      <c r="S21" s="102">
        <f t="shared" si="1"/>
        <v>0</v>
      </c>
      <c r="T21" s="102">
        <f t="shared" si="0"/>
        <v>0</v>
      </c>
      <c r="U21" s="102">
        <f>678670.46+T21</f>
        <v>678670.46</v>
      </c>
      <c r="V21" s="55" t="s">
        <v>368</v>
      </c>
    </row>
    <row r="22" spans="1:22" s="3" customFormat="1" ht="159.75" customHeight="1">
      <c r="A22" s="55" t="s">
        <v>98</v>
      </c>
      <c r="B22" s="181"/>
      <c r="C22" s="181"/>
      <c r="D22" s="181"/>
      <c r="E22" s="187"/>
      <c r="F22" s="187"/>
      <c r="G22" s="55" t="s">
        <v>69</v>
      </c>
      <c r="H22" s="55" t="s">
        <v>96</v>
      </c>
      <c r="I22" s="113" t="s">
        <v>99</v>
      </c>
      <c r="J22" s="115">
        <v>42534</v>
      </c>
      <c r="K22" s="113" t="s">
        <v>157</v>
      </c>
      <c r="L22" s="33">
        <v>3057573.79</v>
      </c>
      <c r="M22" s="115">
        <v>43021</v>
      </c>
      <c r="N22" s="113" t="s">
        <v>267</v>
      </c>
      <c r="O22" s="102">
        <v>0</v>
      </c>
      <c r="P22" s="102">
        <v>0</v>
      </c>
      <c r="Q22" s="55" t="s">
        <v>34</v>
      </c>
      <c r="R22" s="102">
        <f t="shared" si="1"/>
        <v>0</v>
      </c>
      <c r="S22" s="102">
        <f t="shared" si="1"/>
        <v>0</v>
      </c>
      <c r="T22" s="102">
        <f t="shared" si="0"/>
        <v>0</v>
      </c>
      <c r="U22" s="102">
        <f>592409.39+T22</f>
        <v>592409.39</v>
      </c>
      <c r="V22" s="55" t="s">
        <v>368</v>
      </c>
    </row>
    <row r="23" spans="1:22" s="5" customFormat="1" ht="90" customHeight="1">
      <c r="A23" s="55" t="s">
        <v>73</v>
      </c>
      <c r="B23" s="188" t="s">
        <v>52</v>
      </c>
      <c r="C23" s="188" t="s">
        <v>53</v>
      </c>
      <c r="D23" s="188" t="s">
        <v>32</v>
      </c>
      <c r="E23" s="153">
        <v>975000</v>
      </c>
      <c r="F23" s="153">
        <v>51316</v>
      </c>
      <c r="G23" s="55" t="s">
        <v>48</v>
      </c>
      <c r="H23" s="55" t="s">
        <v>241</v>
      </c>
      <c r="I23" s="55" t="s">
        <v>59</v>
      </c>
      <c r="J23" s="79">
        <v>41214</v>
      </c>
      <c r="K23" s="55" t="s">
        <v>56</v>
      </c>
      <c r="L23" s="114">
        <v>706503.28</v>
      </c>
      <c r="M23" s="55" t="s">
        <v>45</v>
      </c>
      <c r="N23" s="55" t="s">
        <v>45</v>
      </c>
      <c r="O23" s="102">
        <v>0</v>
      </c>
      <c r="P23" s="102">
        <v>0</v>
      </c>
      <c r="Q23" s="55" t="s">
        <v>34</v>
      </c>
      <c r="R23" s="102">
        <f t="shared" si="1"/>
        <v>0</v>
      </c>
      <c r="S23" s="102">
        <f t="shared" si="1"/>
        <v>0</v>
      </c>
      <c r="T23" s="102">
        <f t="shared" si="0"/>
        <v>0</v>
      </c>
      <c r="U23" s="102">
        <f>99976.25+T23</f>
        <v>99976.25</v>
      </c>
      <c r="V23" s="55" t="s">
        <v>152</v>
      </c>
    </row>
    <row r="24" spans="1:22" s="5" customFormat="1" ht="90" customHeight="1">
      <c r="A24" s="55" t="s">
        <v>102</v>
      </c>
      <c r="B24" s="188"/>
      <c r="C24" s="188"/>
      <c r="D24" s="188"/>
      <c r="E24" s="153"/>
      <c r="F24" s="153"/>
      <c r="G24" s="55" t="s">
        <v>101</v>
      </c>
      <c r="H24" s="55" t="s">
        <v>100</v>
      </c>
      <c r="I24" s="55" t="s">
        <v>103</v>
      </c>
      <c r="J24" s="115">
        <v>43047</v>
      </c>
      <c r="K24" s="113" t="s">
        <v>297</v>
      </c>
      <c r="L24" s="33">
        <v>763730.87</v>
      </c>
      <c r="M24" s="79">
        <v>44474</v>
      </c>
      <c r="N24" s="113" t="s">
        <v>289</v>
      </c>
      <c r="O24" s="102">
        <f>(-1)*11728.62</f>
        <v>-11728.62</v>
      </c>
      <c r="P24" s="102">
        <v>0</v>
      </c>
      <c r="Q24" s="55" t="s">
        <v>34</v>
      </c>
      <c r="R24" s="102">
        <f>0</f>
        <v>0</v>
      </c>
      <c r="S24" s="102">
        <f>0</f>
        <v>0</v>
      </c>
      <c r="T24" s="102">
        <f t="shared" si="0"/>
        <v>0</v>
      </c>
      <c r="U24" s="102">
        <f>0+338333.55+142221.8+44362.37+21020.4+T24</f>
        <v>545938.12</v>
      </c>
      <c r="V24" s="55" t="s">
        <v>224</v>
      </c>
    </row>
    <row r="25" spans="1:22" s="5" customFormat="1" ht="90" customHeight="1">
      <c r="A25" s="55" t="s">
        <v>77</v>
      </c>
      <c r="B25" s="180" t="s">
        <v>54</v>
      </c>
      <c r="C25" s="180" t="s">
        <v>55</v>
      </c>
      <c r="D25" s="180" t="s">
        <v>32</v>
      </c>
      <c r="E25" s="163">
        <v>1950000</v>
      </c>
      <c r="F25" s="163">
        <f>102634.58+318254.97</f>
        <v>420889.55</v>
      </c>
      <c r="G25" s="55" t="s">
        <v>48</v>
      </c>
      <c r="H25" s="55" t="s">
        <v>241</v>
      </c>
      <c r="I25" s="55" t="s">
        <v>59</v>
      </c>
      <c r="J25" s="79">
        <v>41540</v>
      </c>
      <c r="K25" s="55" t="s">
        <v>57</v>
      </c>
      <c r="L25" s="114">
        <v>1772830.04</v>
      </c>
      <c r="M25" s="55" t="s">
        <v>45</v>
      </c>
      <c r="N25" s="55" t="s">
        <v>45</v>
      </c>
      <c r="O25" s="102">
        <v>0</v>
      </c>
      <c r="P25" s="102">
        <v>0</v>
      </c>
      <c r="Q25" s="55" t="s">
        <v>34</v>
      </c>
      <c r="R25" s="102">
        <f>0+0</f>
        <v>0</v>
      </c>
      <c r="S25" s="102">
        <f>0+0</f>
        <v>0</v>
      </c>
      <c r="T25" s="102">
        <f t="shared" si="0"/>
        <v>0</v>
      </c>
      <c r="U25" s="102">
        <v>16455.73</v>
      </c>
      <c r="V25" s="121" t="s">
        <v>152</v>
      </c>
    </row>
    <row r="26" spans="1:22" s="5" customFormat="1" ht="90" customHeight="1">
      <c r="A26" s="55" t="s">
        <v>102</v>
      </c>
      <c r="B26" s="182"/>
      <c r="C26" s="182"/>
      <c r="D26" s="182"/>
      <c r="E26" s="164"/>
      <c r="F26" s="164"/>
      <c r="G26" s="55" t="s">
        <v>101</v>
      </c>
      <c r="H26" s="55" t="s">
        <v>100</v>
      </c>
      <c r="I26" s="55" t="s">
        <v>103</v>
      </c>
      <c r="J26" s="115">
        <v>43047</v>
      </c>
      <c r="K26" s="113" t="s">
        <v>297</v>
      </c>
      <c r="L26" s="33">
        <v>1955399.63</v>
      </c>
      <c r="M26" s="79">
        <v>44474</v>
      </c>
      <c r="N26" s="113" t="s">
        <v>289</v>
      </c>
      <c r="O26" s="102">
        <f>148640.5+59768.85</f>
        <v>208409.35</v>
      </c>
      <c r="P26" s="102">
        <v>0</v>
      </c>
      <c r="Q26" s="55" t="s">
        <v>34</v>
      </c>
      <c r="R26" s="102">
        <f>0+0</f>
        <v>0</v>
      </c>
      <c r="S26" s="102">
        <f>0</f>
        <v>0</v>
      </c>
      <c r="T26" s="102">
        <f t="shared" si="0"/>
        <v>0</v>
      </c>
      <c r="U26" s="102">
        <f>0+1607777.52+376726.82+95583.42+T26</f>
        <v>2080087.76</v>
      </c>
      <c r="V26" s="55" t="s">
        <v>224</v>
      </c>
    </row>
    <row r="27" spans="1:22" s="5" customFormat="1" ht="109.5" customHeight="1">
      <c r="A27" s="55" t="s">
        <v>125</v>
      </c>
      <c r="B27" s="55" t="s">
        <v>126</v>
      </c>
      <c r="C27" s="113" t="s">
        <v>79</v>
      </c>
      <c r="D27" s="55" t="s">
        <v>32</v>
      </c>
      <c r="E27" s="102">
        <f>(3900000-3900000)+1649002.36</f>
        <v>1649002.36</v>
      </c>
      <c r="F27" s="102">
        <v>68708.43</v>
      </c>
      <c r="G27" s="55" t="s">
        <v>128</v>
      </c>
      <c r="H27" s="55" t="s">
        <v>127</v>
      </c>
      <c r="I27" s="113" t="s">
        <v>129</v>
      </c>
      <c r="J27" s="79">
        <v>43522</v>
      </c>
      <c r="K27" s="55" t="s">
        <v>390</v>
      </c>
      <c r="L27" s="114">
        <v>1201378.67</v>
      </c>
      <c r="M27" s="55" t="s">
        <v>45</v>
      </c>
      <c r="N27" s="55" t="s">
        <v>288</v>
      </c>
      <c r="O27" s="102">
        <v>0</v>
      </c>
      <c r="P27" s="102">
        <v>0</v>
      </c>
      <c r="Q27" s="55" t="s">
        <v>34</v>
      </c>
      <c r="R27" s="102">
        <f>0+0</f>
        <v>0</v>
      </c>
      <c r="S27" s="102">
        <f>0+0</f>
        <v>0</v>
      </c>
      <c r="T27" s="102">
        <f t="shared" si="0"/>
        <v>0</v>
      </c>
      <c r="U27" s="102">
        <f>0+277629.18+244951.85+T27</f>
        <v>522581.03</v>
      </c>
      <c r="V27" s="55" t="s">
        <v>391</v>
      </c>
    </row>
    <row r="28" spans="1:22" s="5" customFormat="1" ht="150" customHeight="1">
      <c r="A28" s="55" t="s">
        <v>131</v>
      </c>
      <c r="B28" s="122" t="s">
        <v>130</v>
      </c>
      <c r="C28" s="122" t="s">
        <v>80</v>
      </c>
      <c r="D28" s="122" t="s">
        <v>32</v>
      </c>
      <c r="E28" s="118">
        <v>975000</v>
      </c>
      <c r="F28" s="118">
        <f>25000+168604.09</f>
        <v>193604.09</v>
      </c>
      <c r="G28" s="55" t="s">
        <v>107</v>
      </c>
      <c r="H28" s="55" t="s">
        <v>81</v>
      </c>
      <c r="I28" s="55" t="s">
        <v>82</v>
      </c>
      <c r="J28" s="79">
        <v>42626</v>
      </c>
      <c r="K28" s="55" t="s">
        <v>157</v>
      </c>
      <c r="L28" s="114">
        <v>771650.5</v>
      </c>
      <c r="M28" s="79">
        <v>43462</v>
      </c>
      <c r="N28" s="55" t="s">
        <v>287</v>
      </c>
      <c r="O28" s="102">
        <v>153719.86</v>
      </c>
      <c r="P28" s="102">
        <v>0</v>
      </c>
      <c r="Q28" s="55" t="s">
        <v>34</v>
      </c>
      <c r="R28" s="102">
        <f>0+0</f>
        <v>0</v>
      </c>
      <c r="S28" s="102">
        <f>0+0</f>
        <v>0</v>
      </c>
      <c r="T28" s="102">
        <f t="shared" si="0"/>
        <v>0</v>
      </c>
      <c r="U28" s="102">
        <f>377295.64+0+T28</f>
        <v>377295.64</v>
      </c>
      <c r="V28" s="55" t="s">
        <v>392</v>
      </c>
    </row>
    <row r="29" spans="1:22" s="5" customFormat="1" ht="90" customHeight="1">
      <c r="A29" s="55" t="s">
        <v>104</v>
      </c>
      <c r="B29" s="180" t="s">
        <v>133</v>
      </c>
      <c r="C29" s="183" t="s">
        <v>83</v>
      </c>
      <c r="D29" s="180" t="s">
        <v>32</v>
      </c>
      <c r="E29" s="172">
        <v>243750</v>
      </c>
      <c r="F29" s="172">
        <v>6250</v>
      </c>
      <c r="G29" s="55" t="s">
        <v>106</v>
      </c>
      <c r="H29" s="55" t="s">
        <v>105</v>
      </c>
      <c r="I29" s="55" t="s">
        <v>108</v>
      </c>
      <c r="J29" s="79">
        <v>42914</v>
      </c>
      <c r="K29" s="55" t="s">
        <v>353</v>
      </c>
      <c r="L29" s="114">
        <v>235896.03</v>
      </c>
      <c r="M29" s="79">
        <v>43006</v>
      </c>
      <c r="N29" s="55" t="s">
        <v>286</v>
      </c>
      <c r="O29" s="102">
        <v>0</v>
      </c>
      <c r="P29" s="102">
        <v>0</v>
      </c>
      <c r="Q29" s="55" t="s">
        <v>34</v>
      </c>
      <c r="R29" s="102">
        <f>0+0</f>
        <v>0</v>
      </c>
      <c r="S29" s="102">
        <f>0+0</f>
        <v>0</v>
      </c>
      <c r="T29" s="102">
        <f t="shared" si="0"/>
        <v>0</v>
      </c>
      <c r="U29" s="102">
        <f>117543.66+37823.35+26813.29+T29</f>
        <v>182180.30000000002</v>
      </c>
      <c r="V29" s="55" t="s">
        <v>152</v>
      </c>
    </row>
    <row r="30" spans="1:22" s="5" customFormat="1" ht="90" customHeight="1">
      <c r="A30" s="55" t="s">
        <v>199</v>
      </c>
      <c r="B30" s="182"/>
      <c r="C30" s="185"/>
      <c r="D30" s="182"/>
      <c r="E30" s="174"/>
      <c r="F30" s="174"/>
      <c r="G30" s="55" t="s">
        <v>196</v>
      </c>
      <c r="H30" s="55" t="s">
        <v>197</v>
      </c>
      <c r="I30" s="55" t="s">
        <v>198</v>
      </c>
      <c r="J30" s="79">
        <v>44091</v>
      </c>
      <c r="K30" s="55" t="s">
        <v>353</v>
      </c>
      <c r="L30" s="114">
        <v>55367.31</v>
      </c>
      <c r="M30" s="79">
        <v>44509</v>
      </c>
      <c r="N30" s="113" t="s">
        <v>33</v>
      </c>
      <c r="O30" s="102">
        <v>0</v>
      </c>
      <c r="P30" s="102">
        <v>0</v>
      </c>
      <c r="Q30" s="55" t="s">
        <v>34</v>
      </c>
      <c r="R30" s="102">
        <f>0+0</f>
        <v>0</v>
      </c>
      <c r="S30" s="102">
        <f>0+0</f>
        <v>0</v>
      </c>
      <c r="T30" s="102">
        <f t="shared" si="0"/>
        <v>0</v>
      </c>
      <c r="U30" s="102">
        <f>24703.48+T30</f>
        <v>24703.48</v>
      </c>
      <c r="V30" s="55" t="s">
        <v>224</v>
      </c>
    </row>
    <row r="31" spans="1:22" s="5" customFormat="1" ht="129.75" customHeight="1">
      <c r="A31" s="55" t="s">
        <v>135</v>
      </c>
      <c r="B31" s="122" t="s">
        <v>134</v>
      </c>
      <c r="C31" s="122" t="s">
        <v>85</v>
      </c>
      <c r="D31" s="122" t="s">
        <v>32</v>
      </c>
      <c r="E31" s="118">
        <v>585000</v>
      </c>
      <c r="F31" s="118">
        <v>15000</v>
      </c>
      <c r="G31" s="55" t="s">
        <v>86</v>
      </c>
      <c r="H31" s="55" t="s">
        <v>87</v>
      </c>
      <c r="I31" s="55" t="s">
        <v>88</v>
      </c>
      <c r="J31" s="79">
        <v>42414</v>
      </c>
      <c r="K31" s="55" t="s">
        <v>157</v>
      </c>
      <c r="L31" s="114">
        <v>590411.32</v>
      </c>
      <c r="M31" s="79">
        <v>43526</v>
      </c>
      <c r="N31" s="55" t="s">
        <v>206</v>
      </c>
      <c r="O31" s="102">
        <v>0</v>
      </c>
      <c r="P31" s="102">
        <v>0</v>
      </c>
      <c r="Q31" s="55" t="s">
        <v>34</v>
      </c>
      <c r="R31" s="102">
        <f aca="true" t="shared" si="2" ref="R31:S34">0+0</f>
        <v>0</v>
      </c>
      <c r="S31" s="102">
        <f t="shared" si="2"/>
        <v>0</v>
      </c>
      <c r="T31" s="102">
        <f t="shared" si="0"/>
        <v>0</v>
      </c>
      <c r="U31" s="102">
        <f>262625.98+T31</f>
        <v>262625.98</v>
      </c>
      <c r="V31" s="55" t="s">
        <v>369</v>
      </c>
    </row>
    <row r="32" spans="1:22" s="5" customFormat="1" ht="159.75" customHeight="1">
      <c r="A32" s="55" t="s">
        <v>114</v>
      </c>
      <c r="B32" s="55" t="s">
        <v>136</v>
      </c>
      <c r="C32" s="113" t="s">
        <v>89</v>
      </c>
      <c r="D32" s="55" t="s">
        <v>32</v>
      </c>
      <c r="E32" s="102">
        <v>243750</v>
      </c>
      <c r="F32" s="102">
        <v>6250</v>
      </c>
      <c r="G32" s="55" t="s">
        <v>112</v>
      </c>
      <c r="H32" s="55" t="s">
        <v>111</v>
      </c>
      <c r="I32" s="55" t="s">
        <v>113</v>
      </c>
      <c r="J32" s="79">
        <v>43024</v>
      </c>
      <c r="K32" s="55" t="s">
        <v>353</v>
      </c>
      <c r="L32" s="114">
        <v>238420.69</v>
      </c>
      <c r="M32" s="79">
        <v>43754</v>
      </c>
      <c r="N32" s="55" t="s">
        <v>393</v>
      </c>
      <c r="O32" s="102">
        <v>0</v>
      </c>
      <c r="P32" s="102">
        <v>0</v>
      </c>
      <c r="Q32" s="55" t="s">
        <v>34</v>
      </c>
      <c r="R32" s="102">
        <f t="shared" si="2"/>
        <v>0</v>
      </c>
      <c r="S32" s="102">
        <f t="shared" si="2"/>
        <v>0</v>
      </c>
      <c r="T32" s="102">
        <f t="shared" si="0"/>
        <v>0</v>
      </c>
      <c r="U32" s="102">
        <f>0+105716.39+T32</f>
        <v>105716.39</v>
      </c>
      <c r="V32" s="55" t="s">
        <v>370</v>
      </c>
    </row>
    <row r="33" spans="1:22" s="5" customFormat="1" ht="120" customHeight="1">
      <c r="A33" s="55" t="s">
        <v>116</v>
      </c>
      <c r="B33" s="122" t="s">
        <v>138</v>
      </c>
      <c r="C33" s="122" t="s">
        <v>90</v>
      </c>
      <c r="D33" s="122" t="s">
        <v>32</v>
      </c>
      <c r="E33" s="118">
        <v>1066939.58</v>
      </c>
      <c r="F33" s="118">
        <v>1070</v>
      </c>
      <c r="G33" s="55" t="s">
        <v>109</v>
      </c>
      <c r="H33" s="55" t="s">
        <v>115</v>
      </c>
      <c r="I33" s="55" t="s">
        <v>137</v>
      </c>
      <c r="J33" s="79">
        <v>43228</v>
      </c>
      <c r="K33" s="55" t="s">
        <v>297</v>
      </c>
      <c r="L33" s="114">
        <v>1045240.18</v>
      </c>
      <c r="M33" s="79">
        <v>43777</v>
      </c>
      <c r="N33" s="113" t="s">
        <v>33</v>
      </c>
      <c r="O33" s="102">
        <v>0</v>
      </c>
      <c r="P33" s="102">
        <v>0</v>
      </c>
      <c r="Q33" s="55" t="s">
        <v>34</v>
      </c>
      <c r="R33" s="102">
        <f t="shared" si="2"/>
        <v>0</v>
      </c>
      <c r="S33" s="102">
        <f t="shared" si="2"/>
        <v>0</v>
      </c>
      <c r="T33" s="102">
        <f t="shared" si="0"/>
        <v>0</v>
      </c>
      <c r="U33" s="102">
        <f>0+34803.14+81054.93+T33</f>
        <v>115858.06999999999</v>
      </c>
      <c r="V33" s="55" t="s">
        <v>394</v>
      </c>
    </row>
    <row r="34" spans="1:22" s="5" customFormat="1" ht="120" customHeight="1">
      <c r="A34" s="34" t="s">
        <v>395</v>
      </c>
      <c r="B34" s="98" t="s">
        <v>396</v>
      </c>
      <c r="C34" s="37" t="s">
        <v>397</v>
      </c>
      <c r="D34" s="101" t="s">
        <v>32</v>
      </c>
      <c r="E34" s="102">
        <v>564124.28</v>
      </c>
      <c r="F34" s="102">
        <v>1200</v>
      </c>
      <c r="G34" s="101" t="s">
        <v>128</v>
      </c>
      <c r="H34" s="101" t="s">
        <v>127</v>
      </c>
      <c r="I34" s="101" t="s">
        <v>398</v>
      </c>
      <c r="J34" s="30">
        <v>43276</v>
      </c>
      <c r="K34" s="101" t="s">
        <v>44</v>
      </c>
      <c r="L34" s="28">
        <v>361197.82</v>
      </c>
      <c r="M34" s="30">
        <v>44355</v>
      </c>
      <c r="N34" s="37" t="s">
        <v>399</v>
      </c>
      <c r="O34" s="102">
        <v>0</v>
      </c>
      <c r="P34" s="102">
        <v>0</v>
      </c>
      <c r="Q34" s="101">
        <v>44.9</v>
      </c>
      <c r="R34" s="102">
        <v>0</v>
      </c>
      <c r="S34" s="102">
        <f t="shared" si="2"/>
        <v>0</v>
      </c>
      <c r="T34" s="102">
        <f>R34-S34+S34</f>
        <v>0</v>
      </c>
      <c r="U34" s="102">
        <f>0+282039.72+78316.56+T34</f>
        <v>360356.27999999997</v>
      </c>
      <c r="V34" s="55" t="s">
        <v>62</v>
      </c>
    </row>
    <row r="35" spans="1:22" s="5" customFormat="1" ht="90" customHeight="1">
      <c r="A35" s="123" t="s">
        <v>231</v>
      </c>
      <c r="B35" s="122" t="s">
        <v>226</v>
      </c>
      <c r="C35" s="113" t="s">
        <v>227</v>
      </c>
      <c r="D35" s="55" t="s">
        <v>32</v>
      </c>
      <c r="E35" s="102">
        <f>911877.39-73178.97</f>
        <v>838698.42</v>
      </c>
      <c r="F35" s="102">
        <v>1344.07</v>
      </c>
      <c r="G35" s="55" t="s">
        <v>228</v>
      </c>
      <c r="H35" s="55" t="s">
        <v>237</v>
      </c>
      <c r="I35" s="55" t="s">
        <v>229</v>
      </c>
      <c r="J35" s="79">
        <v>44436</v>
      </c>
      <c r="K35" s="55" t="s">
        <v>353</v>
      </c>
      <c r="L35" s="114">
        <v>699980.75</v>
      </c>
      <c r="M35" s="55" t="s">
        <v>45</v>
      </c>
      <c r="N35" s="113" t="s">
        <v>400</v>
      </c>
      <c r="O35" s="102">
        <v>0</v>
      </c>
      <c r="P35" s="102">
        <v>0</v>
      </c>
      <c r="Q35" s="55" t="s">
        <v>230</v>
      </c>
      <c r="R35" s="102">
        <f>22637.71+18047.36+0</f>
        <v>40685.07</v>
      </c>
      <c r="S35" s="102">
        <f>22637.71+18047.36</f>
        <v>40685.07</v>
      </c>
      <c r="T35" s="102">
        <f t="shared" si="0"/>
        <v>40685.07</v>
      </c>
      <c r="U35" s="102">
        <f>0+T35</f>
        <v>40685.07</v>
      </c>
      <c r="V35" s="55" t="s">
        <v>47</v>
      </c>
    </row>
    <row r="36" spans="1:22" s="5" customFormat="1" ht="159.75" customHeight="1">
      <c r="A36" s="123" t="s">
        <v>211</v>
      </c>
      <c r="B36" s="122" t="s">
        <v>207</v>
      </c>
      <c r="C36" s="113" t="s">
        <v>208</v>
      </c>
      <c r="D36" s="55" t="s">
        <v>32</v>
      </c>
      <c r="E36" s="102">
        <v>349671.39</v>
      </c>
      <c r="F36" s="102">
        <v>490.23</v>
      </c>
      <c r="G36" s="55" t="s">
        <v>84</v>
      </c>
      <c r="H36" s="55" t="s">
        <v>209</v>
      </c>
      <c r="I36" s="55" t="s">
        <v>210</v>
      </c>
      <c r="J36" s="79">
        <v>43888</v>
      </c>
      <c r="K36" s="55" t="s">
        <v>297</v>
      </c>
      <c r="L36" s="114">
        <v>308102.5</v>
      </c>
      <c r="M36" s="79">
        <v>44279</v>
      </c>
      <c r="N36" s="55" t="s">
        <v>184</v>
      </c>
      <c r="O36" s="102">
        <v>0</v>
      </c>
      <c r="P36" s="102">
        <v>0</v>
      </c>
      <c r="Q36" s="55">
        <v>44.9</v>
      </c>
      <c r="R36" s="102">
        <f>0+0</f>
        <v>0</v>
      </c>
      <c r="S36" s="102">
        <f>0+0</f>
        <v>0</v>
      </c>
      <c r="T36" s="102">
        <f t="shared" si="0"/>
        <v>0</v>
      </c>
      <c r="U36" s="102">
        <f>0+T36</f>
        <v>0</v>
      </c>
      <c r="V36" s="55" t="s">
        <v>372</v>
      </c>
    </row>
    <row r="37" spans="1:22" ht="120" customHeight="1">
      <c r="A37" s="55" t="s">
        <v>190</v>
      </c>
      <c r="B37" s="55" t="s">
        <v>191</v>
      </c>
      <c r="C37" s="55" t="s">
        <v>60</v>
      </c>
      <c r="D37" s="55" t="s">
        <v>60</v>
      </c>
      <c r="E37" s="102" t="s">
        <v>60</v>
      </c>
      <c r="F37" s="102">
        <v>232571.71</v>
      </c>
      <c r="G37" s="55" t="s">
        <v>192</v>
      </c>
      <c r="H37" s="55" t="s">
        <v>236</v>
      </c>
      <c r="I37" s="55" t="s">
        <v>193</v>
      </c>
      <c r="J37" s="79">
        <v>43777</v>
      </c>
      <c r="K37" s="55" t="s">
        <v>157</v>
      </c>
      <c r="L37" s="114">
        <v>232571.71</v>
      </c>
      <c r="M37" s="79">
        <v>44546</v>
      </c>
      <c r="N37" s="113" t="s">
        <v>287</v>
      </c>
      <c r="O37" s="102">
        <v>0</v>
      </c>
      <c r="P37" s="102">
        <v>0</v>
      </c>
      <c r="Q37" s="55">
        <v>44.9</v>
      </c>
      <c r="R37" s="102">
        <f>0+0</f>
        <v>0</v>
      </c>
      <c r="S37" s="102">
        <f>0+0</f>
        <v>0</v>
      </c>
      <c r="T37" s="102">
        <f t="shared" si="0"/>
        <v>0</v>
      </c>
      <c r="U37" s="102">
        <f>0+182041.88+29981.22+T37</f>
        <v>212023.1</v>
      </c>
      <c r="V37" s="55" t="s">
        <v>224</v>
      </c>
    </row>
    <row r="38" spans="1:22" ht="180" customHeight="1">
      <c r="A38" s="55" t="s">
        <v>242</v>
      </c>
      <c r="B38" s="122" t="s">
        <v>233</v>
      </c>
      <c r="C38" s="55" t="s">
        <v>60</v>
      </c>
      <c r="D38" s="55" t="s">
        <v>60</v>
      </c>
      <c r="E38" s="102" t="s">
        <v>60</v>
      </c>
      <c r="F38" s="99">
        <v>34606.51</v>
      </c>
      <c r="G38" s="55" t="s">
        <v>234</v>
      </c>
      <c r="H38" s="55" t="s">
        <v>235</v>
      </c>
      <c r="I38" s="55" t="s">
        <v>243</v>
      </c>
      <c r="J38" s="79">
        <v>44412</v>
      </c>
      <c r="K38" s="55" t="s">
        <v>157</v>
      </c>
      <c r="L38" s="114">
        <v>31902.26</v>
      </c>
      <c r="M38" s="79">
        <v>44742</v>
      </c>
      <c r="N38" s="113" t="s">
        <v>389</v>
      </c>
      <c r="O38" s="102">
        <v>0</v>
      </c>
      <c r="P38" s="73">
        <v>0</v>
      </c>
      <c r="Q38" s="124" t="s">
        <v>230</v>
      </c>
      <c r="R38" s="102">
        <f>14356.02+9570.68+0</f>
        <v>23926.7</v>
      </c>
      <c r="S38" s="102">
        <v>9570.68</v>
      </c>
      <c r="T38" s="102">
        <f t="shared" si="0"/>
        <v>23926.700000000004</v>
      </c>
      <c r="U38" s="102">
        <f>7975.56+T38</f>
        <v>31902.260000000006</v>
      </c>
      <c r="V38" s="66" t="s">
        <v>401</v>
      </c>
    </row>
    <row r="39" spans="1:22" ht="180" customHeight="1">
      <c r="A39" s="55" t="s">
        <v>245</v>
      </c>
      <c r="B39" s="122" t="s">
        <v>244</v>
      </c>
      <c r="C39" s="55" t="s">
        <v>60</v>
      </c>
      <c r="D39" s="55" t="s">
        <v>60</v>
      </c>
      <c r="E39" s="102" t="s">
        <v>60</v>
      </c>
      <c r="F39" s="99">
        <v>1470596.55</v>
      </c>
      <c r="G39" s="55" t="s">
        <v>246</v>
      </c>
      <c r="H39" s="55" t="s">
        <v>247</v>
      </c>
      <c r="I39" s="55" t="s">
        <v>248</v>
      </c>
      <c r="J39" s="79">
        <v>44491</v>
      </c>
      <c r="K39" s="55" t="s">
        <v>389</v>
      </c>
      <c r="L39" s="114">
        <v>1301520.64</v>
      </c>
      <c r="M39" s="55" t="s">
        <v>45</v>
      </c>
      <c r="N39" s="55" t="s">
        <v>402</v>
      </c>
      <c r="O39" s="102">
        <v>0</v>
      </c>
      <c r="P39" s="73">
        <v>0</v>
      </c>
      <c r="Q39" s="124" t="s">
        <v>230</v>
      </c>
      <c r="R39" s="102">
        <f>28181.87+46061.83+73673.36+115976.84+0</f>
        <v>263893.9</v>
      </c>
      <c r="S39" s="102">
        <f>28181.87+46061.83+73673.36+115976.84</f>
        <v>263893.9</v>
      </c>
      <c r="T39" s="102">
        <f t="shared" si="0"/>
        <v>263893.9</v>
      </c>
      <c r="U39" s="102">
        <f>0+T39</f>
        <v>263893.9</v>
      </c>
      <c r="V39" s="66" t="s">
        <v>47</v>
      </c>
    </row>
    <row r="40" spans="1:22" ht="120" customHeight="1">
      <c r="A40" s="55" t="s">
        <v>250</v>
      </c>
      <c r="B40" s="122" t="s">
        <v>249</v>
      </c>
      <c r="C40" s="55" t="s">
        <v>60</v>
      </c>
      <c r="D40" s="55" t="s">
        <v>60</v>
      </c>
      <c r="E40" s="102" t="s">
        <v>60</v>
      </c>
      <c r="F40" s="99">
        <v>368030.01</v>
      </c>
      <c r="G40" s="55" t="s">
        <v>251</v>
      </c>
      <c r="H40" s="55" t="s">
        <v>252</v>
      </c>
      <c r="I40" s="55" t="s">
        <v>253</v>
      </c>
      <c r="J40" s="79">
        <v>44495</v>
      </c>
      <c r="K40" s="55" t="s">
        <v>157</v>
      </c>
      <c r="L40" s="114">
        <v>365478.68</v>
      </c>
      <c r="M40" s="55" t="s">
        <v>45</v>
      </c>
      <c r="N40" s="55" t="s">
        <v>157</v>
      </c>
      <c r="O40" s="102">
        <v>0</v>
      </c>
      <c r="P40" s="73">
        <v>0</v>
      </c>
      <c r="Q40" s="124" t="s">
        <v>230</v>
      </c>
      <c r="R40" s="102">
        <f>68623.54+54303.93+0</f>
        <v>122927.47</v>
      </c>
      <c r="S40" s="102">
        <v>54303.93</v>
      </c>
      <c r="T40" s="102">
        <f t="shared" si="0"/>
        <v>122927.47</v>
      </c>
      <c r="U40" s="102">
        <f aca="true" t="shared" si="3" ref="U40:U60">0+T40</f>
        <v>122927.47</v>
      </c>
      <c r="V40" s="66" t="s">
        <v>47</v>
      </c>
    </row>
    <row r="41" spans="1:22" ht="120" customHeight="1">
      <c r="A41" s="55" t="s">
        <v>255</v>
      </c>
      <c r="B41" s="122" t="s">
        <v>254</v>
      </c>
      <c r="C41" s="55" t="s">
        <v>60</v>
      </c>
      <c r="D41" s="55" t="s">
        <v>60</v>
      </c>
      <c r="E41" s="102" t="s">
        <v>60</v>
      </c>
      <c r="F41" s="99">
        <v>502288.69</v>
      </c>
      <c r="G41" s="55" t="s">
        <v>251</v>
      </c>
      <c r="H41" s="55" t="s">
        <v>252</v>
      </c>
      <c r="I41" s="55" t="s">
        <v>256</v>
      </c>
      <c r="J41" s="79">
        <v>44495</v>
      </c>
      <c r="K41" s="55" t="s">
        <v>353</v>
      </c>
      <c r="L41" s="114">
        <v>501252.74</v>
      </c>
      <c r="M41" s="55" t="s">
        <v>45</v>
      </c>
      <c r="N41" s="55" t="s">
        <v>157</v>
      </c>
      <c r="O41" s="102">
        <v>0</v>
      </c>
      <c r="P41" s="73">
        <v>0</v>
      </c>
      <c r="Q41" s="124" t="s">
        <v>230</v>
      </c>
      <c r="R41" s="102">
        <f>47081.28+45097.35+157427.07+0</f>
        <v>249605.7</v>
      </c>
      <c r="S41" s="102">
        <f>45097.35+157427.07</f>
        <v>202524.42</v>
      </c>
      <c r="T41" s="102">
        <f t="shared" si="0"/>
        <v>249605.69999999998</v>
      </c>
      <c r="U41" s="102">
        <f t="shared" si="3"/>
        <v>249605.69999999998</v>
      </c>
      <c r="V41" s="66" t="s">
        <v>47</v>
      </c>
    </row>
    <row r="42" spans="1:22" ht="120" customHeight="1">
      <c r="A42" s="55" t="s">
        <v>258</v>
      </c>
      <c r="B42" s="122" t="s">
        <v>257</v>
      </c>
      <c r="C42" s="55" t="s">
        <v>60</v>
      </c>
      <c r="D42" s="55" t="s">
        <v>60</v>
      </c>
      <c r="E42" s="102" t="s">
        <v>60</v>
      </c>
      <c r="F42" s="99">
        <v>594475.67</v>
      </c>
      <c r="G42" s="55" t="s">
        <v>251</v>
      </c>
      <c r="H42" s="55" t="s">
        <v>252</v>
      </c>
      <c r="I42" s="55" t="s">
        <v>403</v>
      </c>
      <c r="J42" s="79">
        <v>44495</v>
      </c>
      <c r="K42" s="55" t="s">
        <v>297</v>
      </c>
      <c r="L42" s="114">
        <v>522215.01</v>
      </c>
      <c r="M42" s="55" t="s">
        <v>45</v>
      </c>
      <c r="N42" s="55" t="s">
        <v>157</v>
      </c>
      <c r="O42" s="102">
        <v>0</v>
      </c>
      <c r="P42" s="73">
        <v>0</v>
      </c>
      <c r="Q42" s="124" t="s">
        <v>230</v>
      </c>
      <c r="R42" s="102">
        <f>105441.96+121912.02+85403.98+0</f>
        <v>312757.96</v>
      </c>
      <c r="S42" s="102">
        <f>121912.02+85403.98</f>
        <v>207316</v>
      </c>
      <c r="T42" s="102">
        <f t="shared" si="0"/>
        <v>312757.96</v>
      </c>
      <c r="U42" s="102">
        <f t="shared" si="3"/>
        <v>312757.96</v>
      </c>
      <c r="V42" s="66" t="s">
        <v>47</v>
      </c>
    </row>
    <row r="43" spans="1:22" ht="120" customHeight="1">
      <c r="A43" s="55" t="s">
        <v>261</v>
      </c>
      <c r="B43" s="122" t="s">
        <v>260</v>
      </c>
      <c r="C43" s="55" t="s">
        <v>60</v>
      </c>
      <c r="D43" s="55" t="s">
        <v>60</v>
      </c>
      <c r="E43" s="102" t="s">
        <v>60</v>
      </c>
      <c r="F43" s="99">
        <v>415898.33</v>
      </c>
      <c r="G43" s="55" t="s">
        <v>262</v>
      </c>
      <c r="H43" s="55" t="s">
        <v>263</v>
      </c>
      <c r="I43" s="55" t="s">
        <v>404</v>
      </c>
      <c r="J43" s="79">
        <v>44504</v>
      </c>
      <c r="K43" s="55" t="s">
        <v>157</v>
      </c>
      <c r="L43" s="114">
        <v>319460.48</v>
      </c>
      <c r="M43" s="55" t="s">
        <v>45</v>
      </c>
      <c r="N43" s="55" t="s">
        <v>387</v>
      </c>
      <c r="O43" s="102">
        <v>0</v>
      </c>
      <c r="P43" s="73">
        <v>0</v>
      </c>
      <c r="Q43" s="124" t="s">
        <v>230</v>
      </c>
      <c r="R43" s="102">
        <f>29555.24+0</f>
        <v>29555.24</v>
      </c>
      <c r="S43" s="102">
        <f>29555.24</f>
        <v>29555.24</v>
      </c>
      <c r="T43" s="102">
        <f t="shared" si="0"/>
        <v>29555.24</v>
      </c>
      <c r="U43" s="102">
        <f t="shared" si="3"/>
        <v>29555.24</v>
      </c>
      <c r="V43" s="66" t="s">
        <v>47</v>
      </c>
    </row>
    <row r="44" spans="1:22" ht="120" customHeight="1">
      <c r="A44" s="55" t="s">
        <v>309</v>
      </c>
      <c r="B44" s="122" t="s">
        <v>265</v>
      </c>
      <c r="C44" s="55" t="s">
        <v>60</v>
      </c>
      <c r="D44" s="55" t="s">
        <v>60</v>
      </c>
      <c r="E44" s="102" t="s">
        <v>60</v>
      </c>
      <c r="F44" s="99">
        <v>1045219.51</v>
      </c>
      <c r="G44" s="55" t="s">
        <v>272</v>
      </c>
      <c r="H44" s="55" t="s">
        <v>252</v>
      </c>
      <c r="I44" s="55" t="s">
        <v>266</v>
      </c>
      <c r="J44" s="79">
        <v>44552</v>
      </c>
      <c r="K44" s="55" t="s">
        <v>267</v>
      </c>
      <c r="L44" s="114">
        <v>1044946.8</v>
      </c>
      <c r="M44" s="55" t="s">
        <v>45</v>
      </c>
      <c r="N44" s="55" t="s">
        <v>45</v>
      </c>
      <c r="O44" s="102">
        <v>0</v>
      </c>
      <c r="P44" s="73">
        <v>0</v>
      </c>
      <c r="Q44" s="124" t="s">
        <v>230</v>
      </c>
      <c r="R44" s="102">
        <f aca="true" t="shared" si="4" ref="R44:S62">0+0</f>
        <v>0</v>
      </c>
      <c r="S44" s="102">
        <f t="shared" si="4"/>
        <v>0</v>
      </c>
      <c r="T44" s="102">
        <f t="shared" si="0"/>
        <v>0</v>
      </c>
      <c r="U44" s="102">
        <f t="shared" si="3"/>
        <v>0</v>
      </c>
      <c r="V44" s="66" t="s">
        <v>405</v>
      </c>
    </row>
    <row r="45" spans="1:22" ht="120" customHeight="1">
      <c r="A45" s="55" t="s">
        <v>308</v>
      </c>
      <c r="B45" s="122" t="s">
        <v>310</v>
      </c>
      <c r="C45" s="55" t="s">
        <v>60</v>
      </c>
      <c r="D45" s="55" t="s">
        <v>60</v>
      </c>
      <c r="E45" s="102" t="s">
        <v>60</v>
      </c>
      <c r="F45" s="99">
        <v>362619.2</v>
      </c>
      <c r="G45" s="55" t="s">
        <v>311</v>
      </c>
      <c r="H45" s="55" t="s">
        <v>263</v>
      </c>
      <c r="I45" s="55" t="s">
        <v>312</v>
      </c>
      <c r="J45" s="79">
        <v>44532</v>
      </c>
      <c r="K45" s="55" t="s">
        <v>157</v>
      </c>
      <c r="L45" s="125">
        <v>301011.62</v>
      </c>
      <c r="M45" s="55" t="s">
        <v>45</v>
      </c>
      <c r="N45" s="55" t="s">
        <v>45</v>
      </c>
      <c r="O45" s="102">
        <v>0</v>
      </c>
      <c r="P45" s="73">
        <v>0</v>
      </c>
      <c r="Q45" s="124" t="s">
        <v>230</v>
      </c>
      <c r="R45" s="102">
        <f t="shared" si="4"/>
        <v>0</v>
      </c>
      <c r="S45" s="102">
        <f t="shared" si="4"/>
        <v>0</v>
      </c>
      <c r="T45" s="102">
        <f t="shared" si="0"/>
        <v>0</v>
      </c>
      <c r="U45" s="102">
        <f t="shared" si="3"/>
        <v>0</v>
      </c>
      <c r="V45" s="66" t="s">
        <v>47</v>
      </c>
    </row>
    <row r="46" spans="1:22" ht="120" customHeight="1">
      <c r="A46" s="55" t="s">
        <v>303</v>
      </c>
      <c r="B46" s="122" t="s">
        <v>352</v>
      </c>
      <c r="C46" s="55" t="s">
        <v>60</v>
      </c>
      <c r="D46" s="55" t="s">
        <v>60</v>
      </c>
      <c r="E46" s="102" t="s">
        <v>60</v>
      </c>
      <c r="F46" s="99">
        <v>639279.1</v>
      </c>
      <c r="G46" s="55" t="s">
        <v>192</v>
      </c>
      <c r="H46" s="55" t="s">
        <v>304</v>
      </c>
      <c r="I46" s="55" t="s">
        <v>305</v>
      </c>
      <c r="J46" s="79">
        <v>44532</v>
      </c>
      <c r="K46" s="55" t="s">
        <v>267</v>
      </c>
      <c r="L46" s="99">
        <v>639279.1</v>
      </c>
      <c r="M46" s="55" t="s">
        <v>45</v>
      </c>
      <c r="N46" s="55" t="s">
        <v>45</v>
      </c>
      <c r="O46" s="102">
        <v>0</v>
      </c>
      <c r="P46" s="73">
        <v>0</v>
      </c>
      <c r="Q46" s="124" t="s">
        <v>230</v>
      </c>
      <c r="R46" s="102">
        <f>66759.42+63308.45+0</f>
        <v>130067.87</v>
      </c>
      <c r="S46" s="102">
        <f>63308.45</f>
        <v>63308.45</v>
      </c>
      <c r="T46" s="102">
        <f t="shared" si="0"/>
        <v>130067.87000000001</v>
      </c>
      <c r="U46" s="102">
        <f t="shared" si="3"/>
        <v>130067.87000000001</v>
      </c>
      <c r="V46" s="66" t="s">
        <v>47</v>
      </c>
    </row>
    <row r="47" spans="1:22" ht="120" customHeight="1">
      <c r="A47" s="55" t="s">
        <v>314</v>
      </c>
      <c r="B47" s="122" t="s">
        <v>313</v>
      </c>
      <c r="C47" s="55" t="s">
        <v>60</v>
      </c>
      <c r="D47" s="55" t="s">
        <v>60</v>
      </c>
      <c r="E47" s="102" t="s">
        <v>60</v>
      </c>
      <c r="F47" s="99">
        <v>1530436.21</v>
      </c>
      <c r="G47" s="55" t="s">
        <v>315</v>
      </c>
      <c r="H47" s="55" t="s">
        <v>316</v>
      </c>
      <c r="I47" s="55" t="s">
        <v>317</v>
      </c>
      <c r="J47" s="79">
        <v>44601</v>
      </c>
      <c r="K47" s="55" t="s">
        <v>299</v>
      </c>
      <c r="L47" s="99">
        <v>1400203.12</v>
      </c>
      <c r="M47" s="55" t="s">
        <v>45</v>
      </c>
      <c r="N47" s="55" t="s">
        <v>45</v>
      </c>
      <c r="O47" s="102">
        <v>0</v>
      </c>
      <c r="P47" s="73">
        <v>0</v>
      </c>
      <c r="Q47" s="124" t="s">
        <v>230</v>
      </c>
      <c r="R47" s="102">
        <f t="shared" si="4"/>
        <v>0</v>
      </c>
      <c r="S47" s="102">
        <f t="shared" si="4"/>
        <v>0</v>
      </c>
      <c r="T47" s="102">
        <f t="shared" si="0"/>
        <v>0</v>
      </c>
      <c r="U47" s="102">
        <f t="shared" si="3"/>
        <v>0</v>
      </c>
      <c r="V47" s="66" t="s">
        <v>47</v>
      </c>
    </row>
    <row r="48" spans="1:22" ht="120" customHeight="1">
      <c r="A48" s="55" t="s">
        <v>318</v>
      </c>
      <c r="B48" s="122" t="s">
        <v>319</v>
      </c>
      <c r="C48" s="55" t="s">
        <v>60</v>
      </c>
      <c r="D48" s="55" t="s">
        <v>60</v>
      </c>
      <c r="E48" s="102" t="s">
        <v>60</v>
      </c>
      <c r="F48" s="99">
        <v>384866.7</v>
      </c>
      <c r="G48" s="55" t="s">
        <v>272</v>
      </c>
      <c r="H48" s="55" t="s">
        <v>252</v>
      </c>
      <c r="I48" s="55" t="s">
        <v>320</v>
      </c>
      <c r="J48" s="79">
        <v>44607</v>
      </c>
      <c r="K48" s="55" t="s">
        <v>297</v>
      </c>
      <c r="L48" s="99">
        <v>382671.77</v>
      </c>
      <c r="M48" s="55" t="s">
        <v>45</v>
      </c>
      <c r="N48" s="55" t="s">
        <v>45</v>
      </c>
      <c r="O48" s="102">
        <v>0</v>
      </c>
      <c r="P48" s="73">
        <v>0</v>
      </c>
      <c r="Q48" s="124" t="s">
        <v>230</v>
      </c>
      <c r="R48" s="102">
        <f t="shared" si="4"/>
        <v>0</v>
      </c>
      <c r="S48" s="102">
        <f t="shared" si="4"/>
        <v>0</v>
      </c>
      <c r="T48" s="102">
        <f t="shared" si="0"/>
        <v>0</v>
      </c>
      <c r="U48" s="102">
        <f t="shared" si="3"/>
        <v>0</v>
      </c>
      <c r="V48" s="66" t="s">
        <v>406</v>
      </c>
    </row>
    <row r="49" spans="1:22" ht="120" customHeight="1">
      <c r="A49" s="55" t="s">
        <v>322</v>
      </c>
      <c r="B49" s="122" t="s">
        <v>321</v>
      </c>
      <c r="C49" s="55" t="s">
        <v>60</v>
      </c>
      <c r="D49" s="55" t="s">
        <v>60</v>
      </c>
      <c r="E49" s="102" t="s">
        <v>60</v>
      </c>
      <c r="F49" s="99">
        <v>347191.64</v>
      </c>
      <c r="G49" s="55" t="s">
        <v>251</v>
      </c>
      <c r="H49" s="55" t="s">
        <v>252</v>
      </c>
      <c r="I49" s="55" t="s">
        <v>323</v>
      </c>
      <c r="J49" s="79">
        <v>44607</v>
      </c>
      <c r="K49" s="55" t="s">
        <v>297</v>
      </c>
      <c r="L49" s="99">
        <v>343747.86</v>
      </c>
      <c r="M49" s="55" t="s">
        <v>45</v>
      </c>
      <c r="N49" s="55" t="s">
        <v>45</v>
      </c>
      <c r="O49" s="102">
        <v>0</v>
      </c>
      <c r="P49" s="73">
        <v>0</v>
      </c>
      <c r="Q49" s="124" t="s">
        <v>230</v>
      </c>
      <c r="R49" s="102">
        <f t="shared" si="4"/>
        <v>0</v>
      </c>
      <c r="S49" s="102">
        <f t="shared" si="4"/>
        <v>0</v>
      </c>
      <c r="T49" s="102">
        <f t="shared" si="0"/>
        <v>0</v>
      </c>
      <c r="U49" s="102">
        <f t="shared" si="3"/>
        <v>0</v>
      </c>
      <c r="V49" s="66" t="s">
        <v>47</v>
      </c>
    </row>
    <row r="50" spans="1:22" ht="120" customHeight="1">
      <c r="A50" s="55" t="s">
        <v>324</v>
      </c>
      <c r="B50" s="122" t="s">
        <v>325</v>
      </c>
      <c r="C50" s="55" t="s">
        <v>60</v>
      </c>
      <c r="D50" s="55" t="s">
        <v>60</v>
      </c>
      <c r="E50" s="102" t="s">
        <v>60</v>
      </c>
      <c r="F50" s="99">
        <v>95907.67</v>
      </c>
      <c r="G50" s="55" t="s">
        <v>272</v>
      </c>
      <c r="H50" s="55" t="s">
        <v>252</v>
      </c>
      <c r="I50" s="55" t="s">
        <v>326</v>
      </c>
      <c r="J50" s="79">
        <v>44607</v>
      </c>
      <c r="K50" s="55" t="s">
        <v>297</v>
      </c>
      <c r="L50" s="99">
        <v>95891.53</v>
      </c>
      <c r="M50" s="55" t="s">
        <v>45</v>
      </c>
      <c r="N50" s="55" t="s">
        <v>45</v>
      </c>
      <c r="O50" s="102">
        <v>0</v>
      </c>
      <c r="P50" s="73">
        <v>0</v>
      </c>
      <c r="Q50" s="124" t="s">
        <v>230</v>
      </c>
      <c r="R50" s="102">
        <f>15704.38+0</f>
        <v>15704.38</v>
      </c>
      <c r="S50" s="102">
        <f>15704.38</f>
        <v>15704.38</v>
      </c>
      <c r="T50" s="102">
        <f t="shared" si="0"/>
        <v>15704.38</v>
      </c>
      <c r="U50" s="102">
        <f t="shared" si="3"/>
        <v>15704.38</v>
      </c>
      <c r="V50" s="66" t="s">
        <v>47</v>
      </c>
    </row>
    <row r="51" spans="1:22" ht="120" customHeight="1">
      <c r="A51" s="55" t="s">
        <v>327</v>
      </c>
      <c r="B51" s="122" t="s">
        <v>328</v>
      </c>
      <c r="C51" s="55" t="s">
        <v>60</v>
      </c>
      <c r="D51" s="55" t="s">
        <v>60</v>
      </c>
      <c r="E51" s="102" t="s">
        <v>60</v>
      </c>
      <c r="F51" s="99">
        <v>410706.05</v>
      </c>
      <c r="G51" s="55" t="s">
        <v>272</v>
      </c>
      <c r="H51" s="55" t="s">
        <v>252</v>
      </c>
      <c r="I51" s="55" t="s">
        <v>329</v>
      </c>
      <c r="J51" s="79">
        <v>44607</v>
      </c>
      <c r="K51" s="55" t="s">
        <v>157</v>
      </c>
      <c r="L51" s="99">
        <v>406597.28</v>
      </c>
      <c r="M51" s="55" t="s">
        <v>45</v>
      </c>
      <c r="N51" s="55" t="s">
        <v>43</v>
      </c>
      <c r="O51" s="102">
        <v>0</v>
      </c>
      <c r="P51" s="73">
        <v>0</v>
      </c>
      <c r="Q51" s="124" t="s">
        <v>230</v>
      </c>
      <c r="R51" s="102">
        <f t="shared" si="4"/>
        <v>0</v>
      </c>
      <c r="S51" s="102">
        <f t="shared" si="4"/>
        <v>0</v>
      </c>
      <c r="T51" s="102">
        <f t="shared" si="0"/>
        <v>0</v>
      </c>
      <c r="U51" s="102">
        <f t="shared" si="3"/>
        <v>0</v>
      </c>
      <c r="V51" s="66" t="s">
        <v>47</v>
      </c>
    </row>
    <row r="52" spans="1:22" ht="159.75" customHeight="1">
      <c r="A52" s="55" t="s">
        <v>330</v>
      </c>
      <c r="B52" s="122" t="s">
        <v>331</v>
      </c>
      <c r="C52" s="55" t="s">
        <v>60</v>
      </c>
      <c r="D52" s="55" t="s">
        <v>60</v>
      </c>
      <c r="E52" s="102" t="s">
        <v>60</v>
      </c>
      <c r="F52" s="99">
        <v>1148246.58</v>
      </c>
      <c r="G52" s="55" t="s">
        <v>332</v>
      </c>
      <c r="H52" s="55" t="s">
        <v>333</v>
      </c>
      <c r="I52" s="55" t="s">
        <v>334</v>
      </c>
      <c r="J52" s="79">
        <v>44613</v>
      </c>
      <c r="K52" s="55" t="s">
        <v>297</v>
      </c>
      <c r="L52" s="99">
        <v>1021763.32</v>
      </c>
      <c r="M52" s="55" t="s">
        <v>45</v>
      </c>
      <c r="N52" s="55" t="s">
        <v>45</v>
      </c>
      <c r="O52" s="102">
        <v>0</v>
      </c>
      <c r="P52" s="73">
        <v>0</v>
      </c>
      <c r="Q52" s="124" t="s">
        <v>230</v>
      </c>
      <c r="R52" s="102">
        <f>224891.56+0</f>
        <v>224891.56</v>
      </c>
      <c r="S52" s="102">
        <f>224891.56</f>
        <v>224891.56</v>
      </c>
      <c r="T52" s="102">
        <f t="shared" si="0"/>
        <v>224891.56</v>
      </c>
      <c r="U52" s="102">
        <f t="shared" si="3"/>
        <v>224891.56</v>
      </c>
      <c r="V52" s="66" t="s">
        <v>47</v>
      </c>
    </row>
    <row r="53" spans="1:22" ht="120" customHeight="1">
      <c r="A53" s="55" t="s">
        <v>335</v>
      </c>
      <c r="B53" s="122" t="s">
        <v>336</v>
      </c>
      <c r="C53" s="55" t="s">
        <v>60</v>
      </c>
      <c r="D53" s="55" t="s">
        <v>60</v>
      </c>
      <c r="E53" s="102" t="s">
        <v>60</v>
      </c>
      <c r="F53" s="99">
        <v>598260.62</v>
      </c>
      <c r="G53" s="55" t="s">
        <v>272</v>
      </c>
      <c r="H53" s="55" t="s">
        <v>252</v>
      </c>
      <c r="I53" s="55" t="s">
        <v>337</v>
      </c>
      <c r="J53" s="79">
        <v>44620</v>
      </c>
      <c r="K53" s="55" t="s">
        <v>157</v>
      </c>
      <c r="L53" s="99">
        <v>525028.3</v>
      </c>
      <c r="M53" s="55" t="s">
        <v>45</v>
      </c>
      <c r="N53" s="55" t="s">
        <v>43</v>
      </c>
      <c r="O53" s="102">
        <v>0</v>
      </c>
      <c r="P53" s="73">
        <v>0</v>
      </c>
      <c r="Q53" s="124" t="s">
        <v>230</v>
      </c>
      <c r="R53" s="102">
        <f>100093.59+0</f>
        <v>100093.59</v>
      </c>
      <c r="S53" s="102">
        <f>100093.59</f>
        <v>100093.59</v>
      </c>
      <c r="T53" s="102">
        <f t="shared" si="0"/>
        <v>100093.59</v>
      </c>
      <c r="U53" s="102">
        <f t="shared" si="3"/>
        <v>100093.59</v>
      </c>
      <c r="V53" s="66" t="s">
        <v>47</v>
      </c>
    </row>
    <row r="54" spans="1:22" ht="120" customHeight="1">
      <c r="A54" s="55" t="s">
        <v>346</v>
      </c>
      <c r="B54" s="122" t="s">
        <v>347</v>
      </c>
      <c r="C54" s="55" t="s">
        <v>60</v>
      </c>
      <c r="D54" s="55" t="s">
        <v>60</v>
      </c>
      <c r="E54" s="102" t="s">
        <v>60</v>
      </c>
      <c r="F54" s="99">
        <v>450550.68</v>
      </c>
      <c r="G54" s="55" t="s">
        <v>348</v>
      </c>
      <c r="H54" s="55" t="s">
        <v>349</v>
      </c>
      <c r="I54" s="55" t="s">
        <v>350</v>
      </c>
      <c r="J54" s="79">
        <v>44624</v>
      </c>
      <c r="K54" s="55" t="s">
        <v>353</v>
      </c>
      <c r="L54" s="99">
        <v>419017.65</v>
      </c>
      <c r="M54" s="55" t="s">
        <v>45</v>
      </c>
      <c r="N54" s="55" t="s">
        <v>45</v>
      </c>
      <c r="O54" s="102">
        <v>0</v>
      </c>
      <c r="P54" s="73">
        <v>0</v>
      </c>
      <c r="Q54" s="124" t="s">
        <v>230</v>
      </c>
      <c r="R54" s="102">
        <f t="shared" si="4"/>
        <v>0</v>
      </c>
      <c r="S54" s="102">
        <f t="shared" si="4"/>
        <v>0</v>
      </c>
      <c r="T54" s="102">
        <f t="shared" si="0"/>
        <v>0</v>
      </c>
      <c r="U54" s="102">
        <f t="shared" si="3"/>
        <v>0</v>
      </c>
      <c r="V54" s="66" t="s">
        <v>374</v>
      </c>
    </row>
    <row r="55" spans="1:22" ht="120" customHeight="1">
      <c r="A55" s="55" t="s">
        <v>338</v>
      </c>
      <c r="B55" s="122" t="s">
        <v>339</v>
      </c>
      <c r="C55" s="55" t="s">
        <v>60</v>
      </c>
      <c r="D55" s="55" t="s">
        <v>60</v>
      </c>
      <c r="E55" s="102" t="s">
        <v>60</v>
      </c>
      <c r="F55" s="99">
        <v>541168.18</v>
      </c>
      <c r="G55" s="55" t="s">
        <v>272</v>
      </c>
      <c r="H55" s="55" t="s">
        <v>252</v>
      </c>
      <c r="I55" s="55" t="s">
        <v>340</v>
      </c>
      <c r="J55" s="79">
        <v>44624</v>
      </c>
      <c r="K55" s="55" t="s">
        <v>157</v>
      </c>
      <c r="L55" s="99">
        <v>435036.98</v>
      </c>
      <c r="M55" s="55" t="s">
        <v>45</v>
      </c>
      <c r="N55" s="55" t="s">
        <v>43</v>
      </c>
      <c r="O55" s="102">
        <v>0</v>
      </c>
      <c r="P55" s="73">
        <v>0</v>
      </c>
      <c r="Q55" s="124" t="s">
        <v>230</v>
      </c>
      <c r="R55" s="102">
        <f>67186.8+0</f>
        <v>67186.8</v>
      </c>
      <c r="S55" s="102">
        <f>67186.8</f>
        <v>67186.8</v>
      </c>
      <c r="T55" s="102">
        <f t="shared" si="0"/>
        <v>67186.8</v>
      </c>
      <c r="U55" s="102">
        <f t="shared" si="3"/>
        <v>67186.8</v>
      </c>
      <c r="V55" s="66" t="s">
        <v>47</v>
      </c>
    </row>
    <row r="56" spans="1:22" ht="120" customHeight="1">
      <c r="A56" s="55" t="s">
        <v>341</v>
      </c>
      <c r="B56" s="122" t="s">
        <v>342</v>
      </c>
      <c r="C56" s="55" t="s">
        <v>60</v>
      </c>
      <c r="D56" s="55" t="s">
        <v>60</v>
      </c>
      <c r="E56" s="102" t="s">
        <v>60</v>
      </c>
      <c r="F56" s="99">
        <v>388727.63</v>
      </c>
      <c r="G56" s="55" t="s">
        <v>272</v>
      </c>
      <c r="H56" s="55" t="s">
        <v>252</v>
      </c>
      <c r="I56" s="55" t="s">
        <v>343</v>
      </c>
      <c r="J56" s="79">
        <v>44628</v>
      </c>
      <c r="K56" s="55" t="s">
        <v>157</v>
      </c>
      <c r="L56" s="99">
        <v>386740.27</v>
      </c>
      <c r="M56" s="55" t="s">
        <v>45</v>
      </c>
      <c r="N56" s="55" t="s">
        <v>43</v>
      </c>
      <c r="O56" s="102">
        <v>0</v>
      </c>
      <c r="P56" s="73">
        <v>0</v>
      </c>
      <c r="Q56" s="124" t="s">
        <v>230</v>
      </c>
      <c r="R56" s="102">
        <f t="shared" si="4"/>
        <v>0</v>
      </c>
      <c r="S56" s="102">
        <f t="shared" si="4"/>
        <v>0</v>
      </c>
      <c r="T56" s="102">
        <f t="shared" si="0"/>
        <v>0</v>
      </c>
      <c r="U56" s="102">
        <f t="shared" si="3"/>
        <v>0</v>
      </c>
      <c r="V56" s="66" t="s">
        <v>47</v>
      </c>
    </row>
    <row r="57" spans="1:22" ht="120" customHeight="1">
      <c r="A57" s="55" t="s">
        <v>345</v>
      </c>
      <c r="B57" s="122" t="s">
        <v>344</v>
      </c>
      <c r="C57" s="55" t="s">
        <v>60</v>
      </c>
      <c r="D57" s="55" t="s">
        <v>60</v>
      </c>
      <c r="E57" s="102" t="s">
        <v>60</v>
      </c>
      <c r="F57" s="99">
        <v>241468.99</v>
      </c>
      <c r="G57" s="55" t="s">
        <v>272</v>
      </c>
      <c r="H57" s="55" t="s">
        <v>252</v>
      </c>
      <c r="I57" s="126" t="s">
        <v>351</v>
      </c>
      <c r="J57" s="79">
        <v>44628</v>
      </c>
      <c r="K57" s="55" t="s">
        <v>354</v>
      </c>
      <c r="L57" s="99">
        <v>230615.62</v>
      </c>
      <c r="M57" s="55" t="s">
        <v>45</v>
      </c>
      <c r="N57" s="55" t="s">
        <v>42</v>
      </c>
      <c r="O57" s="102">
        <v>0</v>
      </c>
      <c r="P57" s="73">
        <v>0</v>
      </c>
      <c r="Q57" s="124" t="s">
        <v>230</v>
      </c>
      <c r="R57" s="102">
        <f>70198.06+0</f>
        <v>70198.06</v>
      </c>
      <c r="S57" s="102">
        <f>70198.06</f>
        <v>70198.06</v>
      </c>
      <c r="T57" s="102">
        <f t="shared" si="0"/>
        <v>70198.06</v>
      </c>
      <c r="U57" s="102">
        <f t="shared" si="3"/>
        <v>70198.06</v>
      </c>
      <c r="V57" s="66" t="s">
        <v>47</v>
      </c>
    </row>
    <row r="58" spans="1:22" ht="159.75" customHeight="1">
      <c r="A58" s="55" t="s">
        <v>359</v>
      </c>
      <c r="B58" s="122" t="s">
        <v>355</v>
      </c>
      <c r="C58" s="55" t="s">
        <v>60</v>
      </c>
      <c r="D58" s="55" t="s">
        <v>60</v>
      </c>
      <c r="E58" s="102" t="s">
        <v>60</v>
      </c>
      <c r="F58" s="99">
        <v>4767726.9</v>
      </c>
      <c r="G58" s="55" t="s">
        <v>356</v>
      </c>
      <c r="H58" s="55" t="s">
        <v>357</v>
      </c>
      <c r="I58" s="126" t="s">
        <v>358</v>
      </c>
      <c r="J58" s="79">
        <v>44644</v>
      </c>
      <c r="K58" s="55" t="s">
        <v>299</v>
      </c>
      <c r="L58" s="99">
        <v>3857267.94</v>
      </c>
      <c r="M58" s="55" t="s">
        <v>45</v>
      </c>
      <c r="N58" s="55" t="s">
        <v>45</v>
      </c>
      <c r="O58" s="102">
        <v>0</v>
      </c>
      <c r="P58" s="73">
        <v>0</v>
      </c>
      <c r="Q58" s="124" t="s">
        <v>230</v>
      </c>
      <c r="R58" s="102">
        <f>56829.82+141269.78+0</f>
        <v>198099.6</v>
      </c>
      <c r="S58" s="102">
        <f>56829.82+141269.78</f>
        <v>198099.6</v>
      </c>
      <c r="T58" s="102">
        <f t="shared" si="0"/>
        <v>198099.6</v>
      </c>
      <c r="U58" s="102">
        <f t="shared" si="3"/>
        <v>198099.6</v>
      </c>
      <c r="V58" s="66" t="s">
        <v>47</v>
      </c>
    </row>
    <row r="59" spans="1:22" ht="120" customHeight="1">
      <c r="A59" s="55" t="s">
        <v>360</v>
      </c>
      <c r="B59" s="122" t="s">
        <v>361</v>
      </c>
      <c r="C59" s="55" t="s">
        <v>60</v>
      </c>
      <c r="D59" s="55" t="s">
        <v>60</v>
      </c>
      <c r="E59" s="102" t="s">
        <v>60</v>
      </c>
      <c r="F59" s="99">
        <v>316297.71</v>
      </c>
      <c r="G59" s="55" t="s">
        <v>362</v>
      </c>
      <c r="H59" s="55" t="s">
        <v>349</v>
      </c>
      <c r="I59" s="126" t="s">
        <v>363</v>
      </c>
      <c r="J59" s="79">
        <v>44648</v>
      </c>
      <c r="K59" s="55" t="s">
        <v>157</v>
      </c>
      <c r="L59" s="99">
        <v>306310.46</v>
      </c>
      <c r="M59" s="55" t="s">
        <v>45</v>
      </c>
      <c r="N59" s="55" t="s">
        <v>45</v>
      </c>
      <c r="O59" s="102">
        <v>0</v>
      </c>
      <c r="P59" s="73">
        <v>0</v>
      </c>
      <c r="Q59" s="124" t="s">
        <v>230</v>
      </c>
      <c r="R59" s="102">
        <f>42829.77+0</f>
        <v>42829.77</v>
      </c>
      <c r="S59" s="102">
        <f>42829.77</f>
        <v>42829.77</v>
      </c>
      <c r="T59" s="102">
        <f t="shared" si="0"/>
        <v>42829.77</v>
      </c>
      <c r="U59" s="102">
        <f t="shared" si="3"/>
        <v>42829.77</v>
      </c>
      <c r="V59" s="66" t="s">
        <v>47</v>
      </c>
    </row>
    <row r="60" spans="1:22" ht="120" customHeight="1">
      <c r="A60" s="55" t="s">
        <v>365</v>
      </c>
      <c r="B60" s="122" t="s">
        <v>364</v>
      </c>
      <c r="C60" s="55" t="s">
        <v>60</v>
      </c>
      <c r="D60" s="55" t="s">
        <v>60</v>
      </c>
      <c r="E60" s="102" t="s">
        <v>60</v>
      </c>
      <c r="F60" s="99">
        <v>388727.63</v>
      </c>
      <c r="G60" s="55" t="s">
        <v>272</v>
      </c>
      <c r="H60" s="55" t="s">
        <v>252</v>
      </c>
      <c r="I60" s="126" t="s">
        <v>407</v>
      </c>
      <c r="J60" s="79">
        <v>44648</v>
      </c>
      <c r="K60" s="55" t="s">
        <v>157</v>
      </c>
      <c r="L60" s="99">
        <v>386740.27</v>
      </c>
      <c r="M60" s="55" t="s">
        <v>45</v>
      </c>
      <c r="N60" s="55" t="s">
        <v>45</v>
      </c>
      <c r="O60" s="102">
        <v>0</v>
      </c>
      <c r="P60" s="73">
        <v>0</v>
      </c>
      <c r="Q60" s="124" t="s">
        <v>230</v>
      </c>
      <c r="R60" s="102">
        <f t="shared" si="4"/>
        <v>0</v>
      </c>
      <c r="S60" s="102">
        <f t="shared" si="4"/>
        <v>0</v>
      </c>
      <c r="T60" s="102">
        <f t="shared" si="0"/>
        <v>0</v>
      </c>
      <c r="U60" s="102">
        <f t="shared" si="3"/>
        <v>0</v>
      </c>
      <c r="V60" s="66" t="s">
        <v>47</v>
      </c>
    </row>
    <row r="61" spans="1:22" ht="120" customHeight="1">
      <c r="A61" s="55" t="s">
        <v>408</v>
      </c>
      <c r="B61" s="122" t="s">
        <v>409</v>
      </c>
      <c r="C61" s="55" t="s">
        <v>60</v>
      </c>
      <c r="D61" s="55" t="s">
        <v>60</v>
      </c>
      <c r="E61" s="102" t="s">
        <v>60</v>
      </c>
      <c r="F61" s="99">
        <v>283614.82</v>
      </c>
      <c r="G61" s="55" t="s">
        <v>410</v>
      </c>
      <c r="H61" s="55" t="s">
        <v>411</v>
      </c>
      <c r="I61" s="126" t="s">
        <v>412</v>
      </c>
      <c r="J61" s="79">
        <v>44705</v>
      </c>
      <c r="K61" s="55" t="s">
        <v>157</v>
      </c>
      <c r="L61" s="99">
        <v>276923.9</v>
      </c>
      <c r="M61" s="55" t="s">
        <v>45</v>
      </c>
      <c r="N61" s="55" t="s">
        <v>45</v>
      </c>
      <c r="O61" s="102">
        <v>0</v>
      </c>
      <c r="P61" s="73">
        <v>0</v>
      </c>
      <c r="Q61" s="124" t="s">
        <v>230</v>
      </c>
      <c r="R61" s="102">
        <f t="shared" si="4"/>
        <v>0</v>
      </c>
      <c r="S61" s="102">
        <f t="shared" si="4"/>
        <v>0</v>
      </c>
      <c r="T61" s="102">
        <f t="shared" si="0"/>
        <v>0</v>
      </c>
      <c r="U61" s="102">
        <f>0+T61</f>
        <v>0</v>
      </c>
      <c r="V61" s="66" t="s">
        <v>47</v>
      </c>
    </row>
    <row r="62" spans="1:22" ht="120" customHeight="1">
      <c r="A62" s="55" t="s">
        <v>413</v>
      </c>
      <c r="B62" s="122" t="s">
        <v>414</v>
      </c>
      <c r="C62" s="55" t="s">
        <v>60</v>
      </c>
      <c r="D62" s="55" t="s">
        <v>60</v>
      </c>
      <c r="E62" s="102" t="s">
        <v>60</v>
      </c>
      <c r="F62" s="99">
        <v>523719.07</v>
      </c>
      <c r="G62" s="55" t="s">
        <v>272</v>
      </c>
      <c r="H62" s="55" t="s">
        <v>252</v>
      </c>
      <c r="I62" s="126" t="s">
        <v>415</v>
      </c>
      <c r="J62" s="79">
        <v>44742</v>
      </c>
      <c r="K62" s="55" t="s">
        <v>157</v>
      </c>
      <c r="L62" s="99">
        <v>523508.34</v>
      </c>
      <c r="M62" s="55" t="s">
        <v>45</v>
      </c>
      <c r="N62" s="55" t="s">
        <v>45</v>
      </c>
      <c r="O62" s="102">
        <v>0</v>
      </c>
      <c r="P62" s="73">
        <v>0</v>
      </c>
      <c r="Q62" s="124" t="s">
        <v>230</v>
      </c>
      <c r="R62" s="102">
        <f t="shared" si="4"/>
        <v>0</v>
      </c>
      <c r="S62" s="102">
        <f t="shared" si="4"/>
        <v>0</v>
      </c>
      <c r="T62" s="102">
        <f>R62+S62-S62</f>
        <v>0</v>
      </c>
      <c r="U62" s="102">
        <f>0+T62</f>
        <v>0</v>
      </c>
      <c r="V62" s="66" t="s">
        <v>47</v>
      </c>
    </row>
    <row r="63" spans="1:22" s="13" customFormat="1" ht="90" customHeight="1">
      <c r="A63" s="55" t="s">
        <v>145</v>
      </c>
      <c r="B63" s="180" t="s">
        <v>146</v>
      </c>
      <c r="C63" s="183" t="s">
        <v>147</v>
      </c>
      <c r="D63" s="180" t="s">
        <v>148</v>
      </c>
      <c r="E63" s="169">
        <v>585000</v>
      </c>
      <c r="F63" s="169">
        <v>208662.28</v>
      </c>
      <c r="G63" s="55" t="s">
        <v>149</v>
      </c>
      <c r="H63" s="55" t="s">
        <v>150</v>
      </c>
      <c r="I63" s="113" t="s">
        <v>151</v>
      </c>
      <c r="J63" s="79" t="s">
        <v>61</v>
      </c>
      <c r="K63" s="79" t="s">
        <v>390</v>
      </c>
      <c r="L63" s="114">
        <v>793662.28</v>
      </c>
      <c r="M63" s="79" t="s">
        <v>61</v>
      </c>
      <c r="N63" s="55" t="s">
        <v>46</v>
      </c>
      <c r="O63" s="102">
        <v>0</v>
      </c>
      <c r="P63" s="41">
        <v>0</v>
      </c>
      <c r="Q63" s="127" t="s">
        <v>34</v>
      </c>
      <c r="R63" s="102">
        <f aca="true" t="shared" si="5" ref="R63:S77">0+0</f>
        <v>0</v>
      </c>
      <c r="S63" s="102">
        <f t="shared" si="5"/>
        <v>0</v>
      </c>
      <c r="T63" s="102">
        <f t="shared" si="0"/>
        <v>0</v>
      </c>
      <c r="U63" s="41">
        <f>439504.45+T63</f>
        <v>439504.45</v>
      </c>
      <c r="V63" s="57" t="s">
        <v>152</v>
      </c>
    </row>
    <row r="64" spans="1:22" s="13" customFormat="1" ht="90" customHeight="1">
      <c r="A64" s="55" t="s">
        <v>153</v>
      </c>
      <c r="B64" s="181"/>
      <c r="C64" s="184"/>
      <c r="D64" s="181"/>
      <c r="E64" s="170"/>
      <c r="F64" s="170"/>
      <c r="G64" s="55" t="s">
        <v>154</v>
      </c>
      <c r="H64" s="55" t="s">
        <v>155</v>
      </c>
      <c r="I64" s="113" t="s">
        <v>156</v>
      </c>
      <c r="J64" s="79">
        <v>42964</v>
      </c>
      <c r="K64" s="79" t="s">
        <v>297</v>
      </c>
      <c r="L64" s="114">
        <v>462564.29</v>
      </c>
      <c r="M64" s="79">
        <v>43389</v>
      </c>
      <c r="N64" s="55" t="s">
        <v>390</v>
      </c>
      <c r="O64" s="102">
        <v>0</v>
      </c>
      <c r="P64" s="41">
        <v>0</v>
      </c>
      <c r="Q64" s="127" t="s">
        <v>34</v>
      </c>
      <c r="R64" s="102">
        <f t="shared" si="5"/>
        <v>0</v>
      </c>
      <c r="S64" s="102">
        <f t="shared" si="5"/>
        <v>0</v>
      </c>
      <c r="T64" s="102">
        <f t="shared" si="0"/>
        <v>0</v>
      </c>
      <c r="U64" s="41">
        <f>112313.14+T64</f>
        <v>112313.14</v>
      </c>
      <c r="V64" s="57" t="s">
        <v>195</v>
      </c>
    </row>
    <row r="65" spans="1:22" s="13" customFormat="1" ht="90" customHeight="1">
      <c r="A65" s="55" t="s">
        <v>200</v>
      </c>
      <c r="B65" s="181"/>
      <c r="C65" s="184"/>
      <c r="D65" s="181"/>
      <c r="E65" s="170"/>
      <c r="F65" s="170"/>
      <c r="G65" s="55" t="s">
        <v>201</v>
      </c>
      <c r="H65" s="55" t="s">
        <v>202</v>
      </c>
      <c r="I65" s="113" t="s">
        <v>203</v>
      </c>
      <c r="J65" s="79">
        <v>40379</v>
      </c>
      <c r="K65" s="79" t="s">
        <v>297</v>
      </c>
      <c r="L65" s="114">
        <v>292807.05</v>
      </c>
      <c r="M65" s="79">
        <v>44275</v>
      </c>
      <c r="N65" s="55" t="s">
        <v>206</v>
      </c>
      <c r="O65" s="102">
        <f>4856.23+22334.8+27586.57+0</f>
        <v>54777.6</v>
      </c>
      <c r="P65" s="41">
        <v>0</v>
      </c>
      <c r="Q65" s="127" t="s">
        <v>34</v>
      </c>
      <c r="R65" s="102">
        <f>24725.82+20471.44+0</f>
        <v>45197.259999999995</v>
      </c>
      <c r="S65" s="102">
        <v>20471.44</v>
      </c>
      <c r="T65" s="102">
        <f t="shared" si="0"/>
        <v>45197.259999999995</v>
      </c>
      <c r="U65" s="41">
        <f>11966.51+T65</f>
        <v>57163.77</v>
      </c>
      <c r="V65" s="57" t="s">
        <v>47</v>
      </c>
    </row>
    <row r="66" spans="1:22" s="13" customFormat="1" ht="90" customHeight="1">
      <c r="A66" s="55" t="s">
        <v>416</v>
      </c>
      <c r="B66" s="182"/>
      <c r="C66" s="185"/>
      <c r="D66" s="182"/>
      <c r="E66" s="171"/>
      <c r="F66" s="171"/>
      <c r="G66" s="55" t="s">
        <v>417</v>
      </c>
      <c r="H66" s="55" t="s">
        <v>418</v>
      </c>
      <c r="I66" s="113" t="s">
        <v>419</v>
      </c>
      <c r="J66" s="79">
        <v>44742</v>
      </c>
      <c r="K66" s="79" t="s">
        <v>402</v>
      </c>
      <c r="L66" s="114">
        <v>39141.46</v>
      </c>
      <c r="M66" s="55" t="s">
        <v>45</v>
      </c>
      <c r="N66" s="55" t="s">
        <v>45</v>
      </c>
      <c r="O66" s="102">
        <v>0</v>
      </c>
      <c r="P66" s="41">
        <v>0</v>
      </c>
      <c r="Q66" s="127" t="s">
        <v>34</v>
      </c>
      <c r="R66" s="102">
        <v>0</v>
      </c>
      <c r="S66" s="102">
        <v>0</v>
      </c>
      <c r="T66" s="102">
        <f>R66+S66-S66</f>
        <v>0</v>
      </c>
      <c r="U66" s="41">
        <f>0+T66</f>
        <v>0</v>
      </c>
      <c r="V66" s="57" t="s">
        <v>47</v>
      </c>
    </row>
    <row r="67" spans="1:22" s="13" customFormat="1" ht="90" customHeight="1">
      <c r="A67" s="55" t="s">
        <v>158</v>
      </c>
      <c r="B67" s="180" t="s">
        <v>159</v>
      </c>
      <c r="C67" s="183" t="s">
        <v>160</v>
      </c>
      <c r="D67" s="180" t="s">
        <v>148</v>
      </c>
      <c r="E67" s="169">
        <v>487500</v>
      </c>
      <c r="F67" s="169">
        <v>48750</v>
      </c>
      <c r="G67" s="79" t="s">
        <v>161</v>
      </c>
      <c r="H67" s="55" t="s">
        <v>162</v>
      </c>
      <c r="I67" s="113" t="s">
        <v>163</v>
      </c>
      <c r="J67" s="79">
        <v>41837</v>
      </c>
      <c r="K67" s="79" t="s">
        <v>157</v>
      </c>
      <c r="L67" s="114">
        <v>464262.35</v>
      </c>
      <c r="M67" s="79">
        <v>43096</v>
      </c>
      <c r="N67" s="55" t="s">
        <v>205</v>
      </c>
      <c r="O67" s="102">
        <f>71954.18</f>
        <v>71954.18</v>
      </c>
      <c r="P67" s="41">
        <v>0</v>
      </c>
      <c r="Q67" s="127" t="s">
        <v>34</v>
      </c>
      <c r="R67" s="102">
        <f t="shared" si="5"/>
        <v>0</v>
      </c>
      <c r="S67" s="102">
        <f t="shared" si="5"/>
        <v>0</v>
      </c>
      <c r="T67" s="102">
        <f t="shared" si="0"/>
        <v>0</v>
      </c>
      <c r="U67" s="41">
        <f>7710.2+8166.24+77102.02+73496.15+84812.22+22839.48+T67</f>
        <v>274126.31</v>
      </c>
      <c r="V67" s="57" t="s">
        <v>268</v>
      </c>
    </row>
    <row r="68" spans="1:22" s="13" customFormat="1" ht="90" customHeight="1">
      <c r="A68" s="55" t="s">
        <v>164</v>
      </c>
      <c r="B68" s="182"/>
      <c r="C68" s="185"/>
      <c r="D68" s="182"/>
      <c r="E68" s="171"/>
      <c r="F68" s="171"/>
      <c r="G68" s="79" t="s">
        <v>165</v>
      </c>
      <c r="H68" s="79" t="s">
        <v>166</v>
      </c>
      <c r="I68" s="79" t="s">
        <v>167</v>
      </c>
      <c r="J68" s="79">
        <v>43661</v>
      </c>
      <c r="K68" s="79" t="s">
        <v>297</v>
      </c>
      <c r="L68" s="128">
        <v>230087.16</v>
      </c>
      <c r="M68" s="79">
        <v>44355</v>
      </c>
      <c r="N68" s="55" t="s">
        <v>194</v>
      </c>
      <c r="O68" s="102">
        <v>0</v>
      </c>
      <c r="P68" s="41">
        <v>0</v>
      </c>
      <c r="Q68" s="127" t="s">
        <v>34</v>
      </c>
      <c r="R68" s="102">
        <f>0+0</f>
        <v>0</v>
      </c>
      <c r="S68" s="102">
        <f t="shared" si="5"/>
        <v>0</v>
      </c>
      <c r="T68" s="102">
        <f t="shared" si="0"/>
        <v>0</v>
      </c>
      <c r="U68" s="41">
        <f>35717.99+121814.12+T68</f>
        <v>157532.11</v>
      </c>
      <c r="V68" s="57" t="s">
        <v>224</v>
      </c>
    </row>
    <row r="69" spans="1:22" s="13" customFormat="1" ht="189.75" customHeight="1">
      <c r="A69" s="55" t="s">
        <v>168</v>
      </c>
      <c r="B69" s="55" t="s">
        <v>169</v>
      </c>
      <c r="C69" s="113" t="s">
        <v>170</v>
      </c>
      <c r="D69" s="55" t="s">
        <v>148</v>
      </c>
      <c r="E69" s="45">
        <f>3000000-2591233</f>
        <v>408767</v>
      </c>
      <c r="F69" s="45">
        <v>681.32</v>
      </c>
      <c r="G69" s="79" t="s">
        <v>171</v>
      </c>
      <c r="H69" s="55" t="s">
        <v>172</v>
      </c>
      <c r="I69" s="113" t="s">
        <v>173</v>
      </c>
      <c r="J69" s="79">
        <v>43108</v>
      </c>
      <c r="K69" s="79" t="s">
        <v>184</v>
      </c>
      <c r="L69" s="114">
        <v>464262.35</v>
      </c>
      <c r="M69" s="79">
        <v>43838</v>
      </c>
      <c r="N69" s="55" t="s">
        <v>295</v>
      </c>
      <c r="O69" s="102">
        <v>0</v>
      </c>
      <c r="P69" s="41">
        <v>0</v>
      </c>
      <c r="Q69" s="127" t="s">
        <v>34</v>
      </c>
      <c r="R69" s="41">
        <f>0+0</f>
        <v>0</v>
      </c>
      <c r="S69" s="41">
        <f t="shared" si="5"/>
        <v>0</v>
      </c>
      <c r="T69" s="102">
        <f t="shared" si="0"/>
        <v>0</v>
      </c>
      <c r="U69" s="41">
        <f>111286.09+63093.14+64047.11+76638.7+T69</f>
        <v>315065.04</v>
      </c>
      <c r="V69" s="57" t="s">
        <v>420</v>
      </c>
    </row>
    <row r="70" spans="1:22" s="13" customFormat="1" ht="120" customHeight="1">
      <c r="A70" s="55" t="s">
        <v>174</v>
      </c>
      <c r="B70" s="122" t="s">
        <v>175</v>
      </c>
      <c r="C70" s="129" t="s">
        <v>176</v>
      </c>
      <c r="D70" s="122" t="s">
        <v>148</v>
      </c>
      <c r="E70" s="97">
        <v>1008477.6</v>
      </c>
      <c r="F70" s="97">
        <v>1070</v>
      </c>
      <c r="G70" s="79" t="s">
        <v>177</v>
      </c>
      <c r="H70" s="55" t="s">
        <v>178</v>
      </c>
      <c r="I70" s="113" t="s">
        <v>179</v>
      </c>
      <c r="J70" s="79">
        <v>43409</v>
      </c>
      <c r="K70" s="79" t="s">
        <v>157</v>
      </c>
      <c r="L70" s="114">
        <v>1746130.1</v>
      </c>
      <c r="M70" s="79">
        <v>43759</v>
      </c>
      <c r="N70" s="55" t="s">
        <v>194</v>
      </c>
      <c r="O70" s="102">
        <v>0</v>
      </c>
      <c r="P70" s="41">
        <v>0</v>
      </c>
      <c r="Q70" s="127" t="s">
        <v>34</v>
      </c>
      <c r="R70" s="102">
        <f t="shared" si="5"/>
        <v>0</v>
      </c>
      <c r="S70" s="102">
        <f t="shared" si="5"/>
        <v>0</v>
      </c>
      <c r="T70" s="102">
        <f t="shared" si="0"/>
        <v>0</v>
      </c>
      <c r="U70" s="41">
        <f>0+56207.44+T70</f>
        <v>56207.44</v>
      </c>
      <c r="V70" s="57" t="s">
        <v>375</v>
      </c>
    </row>
    <row r="71" spans="1:22" s="13" customFormat="1" ht="120" customHeight="1">
      <c r="A71" s="55" t="s">
        <v>180</v>
      </c>
      <c r="B71" s="55" t="s">
        <v>181</v>
      </c>
      <c r="C71" s="113" t="s">
        <v>182</v>
      </c>
      <c r="D71" s="55" t="s">
        <v>148</v>
      </c>
      <c r="E71" s="45">
        <v>295000</v>
      </c>
      <c r="F71" s="45">
        <v>5000</v>
      </c>
      <c r="G71" s="55" t="s">
        <v>139</v>
      </c>
      <c r="H71" s="55" t="s">
        <v>120</v>
      </c>
      <c r="I71" s="55" t="s">
        <v>183</v>
      </c>
      <c r="J71" s="79">
        <v>43584</v>
      </c>
      <c r="K71" s="55" t="s">
        <v>300</v>
      </c>
      <c r="L71" s="114">
        <v>299227.98</v>
      </c>
      <c r="M71" s="79">
        <v>44588</v>
      </c>
      <c r="N71" s="55" t="s">
        <v>296</v>
      </c>
      <c r="O71" s="102">
        <v>0</v>
      </c>
      <c r="P71" s="46">
        <v>0</v>
      </c>
      <c r="Q71" s="127" t="s">
        <v>34</v>
      </c>
      <c r="R71" s="102">
        <f>132625.01+0</f>
        <v>132625.01</v>
      </c>
      <c r="S71" s="102">
        <f>132625.01</f>
        <v>132625.01</v>
      </c>
      <c r="T71" s="102">
        <f t="shared" si="0"/>
        <v>132625.01</v>
      </c>
      <c r="U71" s="41">
        <f>104004+60121.48+T71</f>
        <v>296750.49</v>
      </c>
      <c r="V71" s="66" t="s">
        <v>224</v>
      </c>
    </row>
    <row r="72" spans="1:22" s="13" customFormat="1" ht="120" customHeight="1">
      <c r="A72" s="55" t="s">
        <v>185</v>
      </c>
      <c r="B72" s="55" t="s">
        <v>186</v>
      </c>
      <c r="C72" s="113" t="s">
        <v>187</v>
      </c>
      <c r="D72" s="55" t="s">
        <v>148</v>
      </c>
      <c r="E72" s="45">
        <v>345000</v>
      </c>
      <c r="F72" s="45">
        <v>74173.26</v>
      </c>
      <c r="G72" s="55" t="s">
        <v>188</v>
      </c>
      <c r="H72" s="55" t="s">
        <v>110</v>
      </c>
      <c r="I72" s="55" t="s">
        <v>189</v>
      </c>
      <c r="J72" s="79">
        <v>43628</v>
      </c>
      <c r="K72" s="55" t="s">
        <v>297</v>
      </c>
      <c r="L72" s="114">
        <f>419173.26+126167.93</f>
        <v>545341.19</v>
      </c>
      <c r="M72" s="79">
        <v>44439</v>
      </c>
      <c r="N72" s="55" t="s">
        <v>421</v>
      </c>
      <c r="O72" s="102">
        <v>126167.93</v>
      </c>
      <c r="P72" s="46">
        <v>83778.58</v>
      </c>
      <c r="Q72" s="127" t="s">
        <v>34</v>
      </c>
      <c r="R72" s="102">
        <f>83778.58+0</f>
        <v>83778.58</v>
      </c>
      <c r="S72" s="102">
        <f t="shared" si="5"/>
        <v>0</v>
      </c>
      <c r="T72" s="102">
        <f t="shared" si="0"/>
        <v>83778.58</v>
      </c>
      <c r="U72" s="41">
        <f>0+212067.13+288422.92+T72</f>
        <v>584268.63</v>
      </c>
      <c r="V72" s="66" t="s">
        <v>224</v>
      </c>
    </row>
    <row r="73" spans="1:22" s="13" customFormat="1" ht="189.75" customHeight="1">
      <c r="A73" s="55" t="s">
        <v>212</v>
      </c>
      <c r="B73" s="55" t="s">
        <v>213</v>
      </c>
      <c r="C73" s="113" t="s">
        <v>214</v>
      </c>
      <c r="D73" s="55" t="s">
        <v>148</v>
      </c>
      <c r="E73" s="45">
        <v>222857.14</v>
      </c>
      <c r="F73" s="45">
        <v>300</v>
      </c>
      <c r="G73" s="55" t="s">
        <v>215</v>
      </c>
      <c r="H73" s="55" t="s">
        <v>216</v>
      </c>
      <c r="I73" s="55" t="s">
        <v>217</v>
      </c>
      <c r="J73" s="79">
        <v>44090</v>
      </c>
      <c r="K73" s="55" t="s">
        <v>157</v>
      </c>
      <c r="L73" s="114">
        <v>163992.97</v>
      </c>
      <c r="M73" s="79">
        <v>44336</v>
      </c>
      <c r="N73" s="55" t="s">
        <v>70</v>
      </c>
      <c r="O73" s="102">
        <v>0</v>
      </c>
      <c r="P73" s="46">
        <v>0</v>
      </c>
      <c r="Q73" s="127" t="s">
        <v>34</v>
      </c>
      <c r="R73" s="102">
        <f t="shared" si="5"/>
        <v>0</v>
      </c>
      <c r="S73" s="102">
        <f t="shared" si="5"/>
        <v>0</v>
      </c>
      <c r="T73" s="102">
        <f t="shared" si="0"/>
        <v>0</v>
      </c>
      <c r="U73" s="41">
        <f>0+T73</f>
        <v>0</v>
      </c>
      <c r="V73" s="67" t="s">
        <v>377</v>
      </c>
    </row>
    <row r="74" spans="1:22" s="13" customFormat="1" ht="180" customHeight="1">
      <c r="A74" s="55" t="s">
        <v>219</v>
      </c>
      <c r="B74" s="55" t="s">
        <v>218</v>
      </c>
      <c r="C74" s="113" t="s">
        <v>220</v>
      </c>
      <c r="D74" s="55" t="s">
        <v>148</v>
      </c>
      <c r="E74" s="45">
        <v>222857.14</v>
      </c>
      <c r="F74" s="45">
        <f>(300+112248.71)</f>
        <v>112548.71</v>
      </c>
      <c r="G74" s="55" t="s">
        <v>221</v>
      </c>
      <c r="H74" s="55" t="s">
        <v>222</v>
      </c>
      <c r="I74" s="55" t="s">
        <v>422</v>
      </c>
      <c r="J74" s="79">
        <v>44309</v>
      </c>
      <c r="K74" s="55" t="s">
        <v>297</v>
      </c>
      <c r="L74" s="114">
        <v>220865.92</v>
      </c>
      <c r="M74" s="79">
        <v>44744</v>
      </c>
      <c r="N74" s="55" t="s">
        <v>70</v>
      </c>
      <c r="O74" s="102">
        <v>0</v>
      </c>
      <c r="P74" s="46">
        <v>0</v>
      </c>
      <c r="Q74" s="127" t="s">
        <v>34</v>
      </c>
      <c r="R74" s="102">
        <f t="shared" si="5"/>
        <v>0</v>
      </c>
      <c r="S74" s="102">
        <f t="shared" si="5"/>
        <v>0</v>
      </c>
      <c r="T74" s="102">
        <f t="shared" si="0"/>
        <v>0</v>
      </c>
      <c r="U74" s="41">
        <f>0+T74</f>
        <v>0</v>
      </c>
      <c r="V74" s="67" t="s">
        <v>378</v>
      </c>
    </row>
    <row r="75" spans="1:22" s="13" customFormat="1" ht="219.75" customHeight="1">
      <c r="A75" s="55" t="s">
        <v>270</v>
      </c>
      <c r="B75" s="55" t="s">
        <v>269</v>
      </c>
      <c r="C75" s="113" t="s">
        <v>271</v>
      </c>
      <c r="D75" s="55" t="s">
        <v>148</v>
      </c>
      <c r="E75" s="45">
        <v>222857.14</v>
      </c>
      <c r="F75" s="45">
        <v>300</v>
      </c>
      <c r="G75" s="55" t="s">
        <v>272</v>
      </c>
      <c r="H75" s="55" t="s">
        <v>115</v>
      </c>
      <c r="I75" s="55" t="s">
        <v>273</v>
      </c>
      <c r="J75" s="79">
        <v>44470</v>
      </c>
      <c r="K75" s="55" t="s">
        <v>387</v>
      </c>
      <c r="L75" s="114">
        <v>222774.02</v>
      </c>
      <c r="M75" s="79" t="s">
        <v>60</v>
      </c>
      <c r="N75" s="55" t="s">
        <v>387</v>
      </c>
      <c r="O75" s="102">
        <v>0</v>
      </c>
      <c r="P75" s="46">
        <v>0</v>
      </c>
      <c r="Q75" s="127" t="s">
        <v>34</v>
      </c>
      <c r="R75" s="102">
        <f t="shared" si="5"/>
        <v>0</v>
      </c>
      <c r="S75" s="102">
        <f t="shared" si="5"/>
        <v>0</v>
      </c>
      <c r="T75" s="102">
        <f t="shared" si="0"/>
        <v>0</v>
      </c>
      <c r="U75" s="41">
        <f>0+T75</f>
        <v>0</v>
      </c>
      <c r="V75" s="66" t="s">
        <v>405</v>
      </c>
    </row>
    <row r="76" spans="1:22" s="13" customFormat="1" ht="180" customHeight="1">
      <c r="A76" s="55" t="s">
        <v>277</v>
      </c>
      <c r="B76" s="55" t="s">
        <v>275</v>
      </c>
      <c r="C76" s="113" t="s">
        <v>276</v>
      </c>
      <c r="D76" s="55" t="s">
        <v>274</v>
      </c>
      <c r="E76" s="45">
        <v>583662.81</v>
      </c>
      <c r="F76" s="45">
        <v>642.74</v>
      </c>
      <c r="G76" s="55" t="s">
        <v>221</v>
      </c>
      <c r="H76" s="55" t="s">
        <v>222</v>
      </c>
      <c r="I76" s="55" t="s">
        <v>278</v>
      </c>
      <c r="J76" s="79">
        <v>44285</v>
      </c>
      <c r="K76" s="55" t="s">
        <v>402</v>
      </c>
      <c r="L76" s="114">
        <v>584305.55</v>
      </c>
      <c r="M76" s="79">
        <v>44551</v>
      </c>
      <c r="N76" s="55" t="s">
        <v>70</v>
      </c>
      <c r="O76" s="102">
        <v>0</v>
      </c>
      <c r="P76" s="46">
        <v>0</v>
      </c>
      <c r="Q76" s="127" t="s">
        <v>34</v>
      </c>
      <c r="R76" s="102">
        <f t="shared" si="5"/>
        <v>0</v>
      </c>
      <c r="S76" s="102">
        <f t="shared" si="5"/>
        <v>0</v>
      </c>
      <c r="T76" s="102">
        <f t="shared" si="0"/>
        <v>0</v>
      </c>
      <c r="U76" s="41">
        <f>0+T76</f>
        <v>0</v>
      </c>
      <c r="V76" s="67" t="s">
        <v>423</v>
      </c>
    </row>
    <row r="77" spans="1:22" s="13" customFormat="1" ht="180" customHeight="1">
      <c r="A77" s="55" t="s">
        <v>281</v>
      </c>
      <c r="B77" s="55" t="s">
        <v>279</v>
      </c>
      <c r="C77" s="113" t="s">
        <v>285</v>
      </c>
      <c r="D77" s="55" t="s">
        <v>274</v>
      </c>
      <c r="E77" s="78" t="s">
        <v>280</v>
      </c>
      <c r="F77" s="45">
        <v>910.83</v>
      </c>
      <c r="G77" s="55" t="s">
        <v>283</v>
      </c>
      <c r="H77" s="55" t="s">
        <v>284</v>
      </c>
      <c r="I77" s="55" t="s">
        <v>282</v>
      </c>
      <c r="J77" s="79">
        <v>44368</v>
      </c>
      <c r="K77" s="55" t="s">
        <v>353</v>
      </c>
      <c r="L77" s="114">
        <v>547199.57</v>
      </c>
      <c r="M77" s="79">
        <v>44551</v>
      </c>
      <c r="N77" s="55" t="s">
        <v>70</v>
      </c>
      <c r="O77" s="102">
        <v>0</v>
      </c>
      <c r="P77" s="46">
        <v>0</v>
      </c>
      <c r="Q77" s="127" t="s">
        <v>34</v>
      </c>
      <c r="R77" s="102">
        <f t="shared" si="5"/>
        <v>0</v>
      </c>
      <c r="S77" s="102">
        <f t="shared" si="5"/>
        <v>0</v>
      </c>
      <c r="T77" s="102">
        <f t="shared" si="0"/>
        <v>0</v>
      </c>
      <c r="U77" s="41">
        <f>0+T77</f>
        <v>0</v>
      </c>
      <c r="V77" s="67" t="s">
        <v>424</v>
      </c>
    </row>
  </sheetData>
  <sheetProtection/>
  <mergeCells count="62">
    <mergeCell ref="B67:B68"/>
    <mergeCell ref="C67:C68"/>
    <mergeCell ref="D67:D68"/>
    <mergeCell ref="E67:E68"/>
    <mergeCell ref="F67:F68"/>
    <mergeCell ref="P7:V7"/>
    <mergeCell ref="P8:V8"/>
    <mergeCell ref="B29:B30"/>
    <mergeCell ref="C29:C30"/>
    <mergeCell ref="D29:D30"/>
    <mergeCell ref="E29:E30"/>
    <mergeCell ref="F29:F30"/>
    <mergeCell ref="B63:B66"/>
    <mergeCell ref="C63:C66"/>
    <mergeCell ref="D63:D66"/>
    <mergeCell ref="E63:E66"/>
    <mergeCell ref="F63:F66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18:B19"/>
    <mergeCell ref="C18:C19"/>
    <mergeCell ref="D18:D19"/>
    <mergeCell ref="E18:E19"/>
    <mergeCell ref="F18:F19"/>
    <mergeCell ref="B20:B22"/>
    <mergeCell ref="C20:C22"/>
    <mergeCell ref="D20:D22"/>
    <mergeCell ref="E20:E22"/>
    <mergeCell ref="F20:F22"/>
    <mergeCell ref="Q11:Q12"/>
    <mergeCell ref="R11:R12"/>
    <mergeCell ref="S11:S12"/>
    <mergeCell ref="T11:T12"/>
    <mergeCell ref="B14:B17"/>
    <mergeCell ref="C14:C17"/>
    <mergeCell ref="D14:D17"/>
    <mergeCell ref="E14:E17"/>
    <mergeCell ref="F14:F17"/>
    <mergeCell ref="A11:A12"/>
    <mergeCell ref="B11:B12"/>
    <mergeCell ref="C11:F11"/>
    <mergeCell ref="G11:H11"/>
    <mergeCell ref="I11:M11"/>
    <mergeCell ref="N11:O11"/>
    <mergeCell ref="A1:V1"/>
    <mergeCell ref="A2:V2"/>
    <mergeCell ref="A4:V4"/>
    <mergeCell ref="I7:O7"/>
    <mergeCell ref="I8:O8"/>
    <mergeCell ref="A10:O10"/>
    <mergeCell ref="P10:P12"/>
    <mergeCell ref="Q10:T10"/>
    <mergeCell ref="U10:U12"/>
    <mergeCell ref="V10:V1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1"/>
  <sheetViews>
    <sheetView zoomScale="60" zoomScaleNormal="60" zoomScalePageLayoutView="0" workbookViewId="0" topLeftCell="A1">
      <pane ySplit="13" topLeftCell="A14" activePane="bottomLeft" state="frozen"/>
      <selection pane="topLeft" activeCell="A1" sqref="A1"/>
      <selection pane="bottomLeft" activeCell="A1" sqref="A1:V1"/>
    </sheetView>
  </sheetViews>
  <sheetFormatPr defaultColWidth="8.7109375" defaultRowHeight="15"/>
  <cols>
    <col min="1" max="1" width="18.57421875" style="2" customWidth="1"/>
    <col min="2" max="2" width="21.8515625" style="2" customWidth="1"/>
    <col min="3" max="3" width="17.28125" style="4" customWidth="1"/>
    <col min="4" max="4" width="19.421875" style="4" customWidth="1"/>
    <col min="5" max="5" width="21.28125" style="4" customWidth="1"/>
    <col min="6" max="6" width="19.421875" style="4" customWidth="1"/>
    <col min="7" max="7" width="19.421875" style="6" customWidth="1"/>
    <col min="8" max="8" width="22.140625" style="4" customWidth="1"/>
    <col min="9" max="9" width="11.140625" style="6" customWidth="1"/>
    <col min="10" max="10" width="16.00390625" style="6" customWidth="1"/>
    <col min="11" max="11" width="19.421875" style="6" customWidth="1"/>
    <col min="12" max="12" width="21.57421875" style="6" customWidth="1"/>
    <col min="13" max="13" width="21.7109375" style="6" customWidth="1"/>
    <col min="14" max="14" width="19.421875" style="6" customWidth="1"/>
    <col min="15" max="15" width="19.421875" style="4" customWidth="1"/>
    <col min="16" max="16" width="19.421875" style="6" customWidth="1"/>
    <col min="17" max="17" width="19.421875" style="4" customWidth="1"/>
    <col min="18" max="18" width="22.00390625" style="4" customWidth="1"/>
    <col min="19" max="19" width="21.57421875" style="4" customWidth="1"/>
    <col min="20" max="20" width="20.8515625" style="6" customWidth="1"/>
    <col min="21" max="21" width="21.28125" style="4" customWidth="1"/>
    <col min="22" max="22" width="27.8515625" style="5" customWidth="1"/>
    <col min="23" max="23" width="19.140625" style="1" customWidth="1"/>
    <col min="24" max="16384" width="8.7109375" style="1" customWidth="1"/>
  </cols>
  <sheetData>
    <row r="1" spans="1:22" ht="18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ht="18.7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ht="15">
      <c r="P3" s="4"/>
    </row>
    <row r="4" spans="1:22" ht="18.75">
      <c r="A4" s="158" t="s">
        <v>307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16:22" ht="15">
      <c r="P5" s="4"/>
      <c r="Q5" s="6"/>
      <c r="R5" s="6"/>
      <c r="T5" s="4"/>
      <c r="U5" s="5"/>
      <c r="V5" s="12"/>
    </row>
    <row r="6" spans="6:22" ht="15">
      <c r="F6" s="6"/>
      <c r="P6" s="4"/>
      <c r="Q6" s="6"/>
      <c r="R6" s="8"/>
      <c r="S6" s="5"/>
      <c r="V6" s="12"/>
    </row>
    <row r="7" spans="1:23" ht="15">
      <c r="A7" s="25" t="s">
        <v>2</v>
      </c>
      <c r="C7" s="7">
        <v>210101</v>
      </c>
      <c r="E7" s="35" t="s">
        <v>3</v>
      </c>
      <c r="F7" s="47">
        <v>2022</v>
      </c>
      <c r="I7" s="142" t="s">
        <v>380</v>
      </c>
      <c r="J7" s="142"/>
      <c r="K7" s="142"/>
      <c r="L7" s="142"/>
      <c r="M7" s="142"/>
      <c r="N7" s="142"/>
      <c r="O7" s="142"/>
      <c r="P7" s="142" t="s">
        <v>380</v>
      </c>
      <c r="Q7" s="142"/>
      <c r="R7" s="142"/>
      <c r="S7" s="142"/>
      <c r="T7" s="142"/>
      <c r="U7" s="142"/>
      <c r="V7" s="142"/>
      <c r="W7" s="40"/>
    </row>
    <row r="8" spans="1:23" ht="15">
      <c r="A8" s="25" t="s">
        <v>4</v>
      </c>
      <c r="C8" s="7" t="s">
        <v>5</v>
      </c>
      <c r="E8" s="36" t="s">
        <v>6</v>
      </c>
      <c r="F8" s="47" t="s">
        <v>425</v>
      </c>
      <c r="G8" s="48"/>
      <c r="I8" s="142" t="s">
        <v>144</v>
      </c>
      <c r="J8" s="142"/>
      <c r="K8" s="142"/>
      <c r="L8" s="142"/>
      <c r="M8" s="142"/>
      <c r="N8" s="142"/>
      <c r="O8" s="142"/>
      <c r="P8" s="142" t="s">
        <v>144</v>
      </c>
      <c r="Q8" s="142"/>
      <c r="R8" s="142"/>
      <c r="S8" s="142"/>
      <c r="T8" s="142"/>
      <c r="U8" s="142"/>
      <c r="V8" s="142"/>
      <c r="W8" s="40"/>
    </row>
    <row r="9" ht="15">
      <c r="P9" s="4"/>
    </row>
    <row r="10" spans="1:22" ht="15" customHeight="1">
      <c r="A10" s="159" t="s">
        <v>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43" t="s">
        <v>66</v>
      </c>
      <c r="Q10" s="160" t="s">
        <v>8</v>
      </c>
      <c r="R10" s="161"/>
      <c r="S10" s="161"/>
      <c r="T10" s="162"/>
      <c r="U10" s="143" t="s">
        <v>9</v>
      </c>
      <c r="V10" s="143" t="s">
        <v>10</v>
      </c>
    </row>
    <row r="11" spans="1:22" ht="15" customHeight="1">
      <c r="A11" s="167" t="s">
        <v>11</v>
      </c>
      <c r="B11" s="175" t="s">
        <v>12</v>
      </c>
      <c r="C11" s="160" t="s">
        <v>13</v>
      </c>
      <c r="D11" s="161"/>
      <c r="E11" s="161"/>
      <c r="F11" s="162"/>
      <c r="G11" s="160" t="s">
        <v>14</v>
      </c>
      <c r="H11" s="162"/>
      <c r="I11" s="160" t="s">
        <v>15</v>
      </c>
      <c r="J11" s="161"/>
      <c r="K11" s="161"/>
      <c r="L11" s="161"/>
      <c r="M11" s="162"/>
      <c r="N11" s="160" t="s">
        <v>16</v>
      </c>
      <c r="O11" s="162"/>
      <c r="P11" s="154"/>
      <c r="Q11" s="145" t="s">
        <v>17</v>
      </c>
      <c r="R11" s="147" t="s">
        <v>18</v>
      </c>
      <c r="S11" s="147" t="s">
        <v>19</v>
      </c>
      <c r="T11" s="155" t="s">
        <v>20</v>
      </c>
      <c r="U11" s="144"/>
      <c r="V11" s="144"/>
    </row>
    <row r="12" spans="1:22" ht="90" customHeight="1">
      <c r="A12" s="168"/>
      <c r="B12" s="176"/>
      <c r="C12" s="105" t="s">
        <v>21</v>
      </c>
      <c r="D12" s="106" t="s">
        <v>22</v>
      </c>
      <c r="E12" s="106" t="s">
        <v>23</v>
      </c>
      <c r="F12" s="110" t="s">
        <v>24</v>
      </c>
      <c r="G12" s="105" t="s">
        <v>25</v>
      </c>
      <c r="H12" s="110" t="s">
        <v>26</v>
      </c>
      <c r="I12" s="10" t="s">
        <v>21</v>
      </c>
      <c r="J12" s="11" t="s">
        <v>27</v>
      </c>
      <c r="K12" s="11" t="s">
        <v>28</v>
      </c>
      <c r="L12" s="11" t="s">
        <v>29</v>
      </c>
      <c r="M12" s="9" t="s">
        <v>142</v>
      </c>
      <c r="N12" s="10" t="s">
        <v>30</v>
      </c>
      <c r="O12" s="9" t="s">
        <v>31</v>
      </c>
      <c r="P12" s="154"/>
      <c r="Q12" s="146"/>
      <c r="R12" s="148"/>
      <c r="S12" s="148"/>
      <c r="T12" s="156"/>
      <c r="U12" s="144"/>
      <c r="V12" s="144"/>
    </row>
    <row r="13" spans="1:22" ht="15.75">
      <c r="A13" s="26">
        <v>-5</v>
      </c>
      <c r="B13" s="26">
        <v>-6</v>
      </c>
      <c r="C13" s="18">
        <v>-7</v>
      </c>
      <c r="D13" s="19">
        <v>-8</v>
      </c>
      <c r="E13" s="19">
        <v>-9</v>
      </c>
      <c r="F13" s="20">
        <v>-10</v>
      </c>
      <c r="G13" s="18">
        <v>-11</v>
      </c>
      <c r="H13" s="20">
        <v>-12</v>
      </c>
      <c r="I13" s="21">
        <v>-13</v>
      </c>
      <c r="J13" s="22">
        <v>-14</v>
      </c>
      <c r="K13" s="22">
        <v>-15</v>
      </c>
      <c r="L13" s="22">
        <v>-16</v>
      </c>
      <c r="M13" s="23">
        <v>-17</v>
      </c>
      <c r="N13" s="21">
        <v>-18</v>
      </c>
      <c r="O13" s="23">
        <v>-19</v>
      </c>
      <c r="P13" s="17">
        <v>-20</v>
      </c>
      <c r="Q13" s="18">
        <v>-21</v>
      </c>
      <c r="R13" s="19">
        <v>-22</v>
      </c>
      <c r="S13" s="19">
        <v>-23</v>
      </c>
      <c r="T13" s="20">
        <v>-24</v>
      </c>
      <c r="U13" s="17">
        <v>-25</v>
      </c>
      <c r="V13" s="17">
        <v>-26</v>
      </c>
    </row>
    <row r="14" spans="1:22" s="2" customFormat="1" ht="90" customHeight="1">
      <c r="A14" s="120" t="s">
        <v>76</v>
      </c>
      <c r="B14" s="180" t="s">
        <v>36</v>
      </c>
      <c r="C14" s="183" t="s">
        <v>67</v>
      </c>
      <c r="D14" s="183" t="s">
        <v>32</v>
      </c>
      <c r="E14" s="172">
        <v>487500</v>
      </c>
      <c r="F14" s="172">
        <v>54200</v>
      </c>
      <c r="G14" s="120" t="s">
        <v>37</v>
      </c>
      <c r="H14" s="120" t="s">
        <v>38</v>
      </c>
      <c r="I14" s="113" t="s">
        <v>39</v>
      </c>
      <c r="J14" s="120" t="s">
        <v>40</v>
      </c>
      <c r="K14" s="113" t="s">
        <v>297</v>
      </c>
      <c r="L14" s="114">
        <v>536844.8</v>
      </c>
      <c r="M14" s="115">
        <v>40510</v>
      </c>
      <c r="N14" s="113" t="s">
        <v>157</v>
      </c>
      <c r="O14" s="109">
        <v>0</v>
      </c>
      <c r="P14" s="109">
        <v>0</v>
      </c>
      <c r="Q14" s="120" t="s">
        <v>34</v>
      </c>
      <c r="R14" s="109">
        <f>0+0</f>
        <v>0</v>
      </c>
      <c r="S14" s="109">
        <f>0+0</f>
        <v>0</v>
      </c>
      <c r="T14" s="109">
        <f>R14+S14-S14</f>
        <v>0</v>
      </c>
      <c r="U14" s="109">
        <f>100702.03+T14</f>
        <v>100702.03</v>
      </c>
      <c r="V14" s="120" t="s">
        <v>95</v>
      </c>
    </row>
    <row r="15" spans="1:22" s="2" customFormat="1" ht="90" customHeight="1">
      <c r="A15" s="120" t="s">
        <v>122</v>
      </c>
      <c r="B15" s="181"/>
      <c r="C15" s="184"/>
      <c r="D15" s="184"/>
      <c r="E15" s="173"/>
      <c r="F15" s="173"/>
      <c r="G15" s="120" t="s">
        <v>117</v>
      </c>
      <c r="H15" s="120" t="s">
        <v>118</v>
      </c>
      <c r="I15" s="113" t="s">
        <v>121</v>
      </c>
      <c r="J15" s="79">
        <v>42748</v>
      </c>
      <c r="K15" s="113" t="s">
        <v>267</v>
      </c>
      <c r="L15" s="114">
        <v>329712.56</v>
      </c>
      <c r="M15" s="120" t="s">
        <v>45</v>
      </c>
      <c r="N15" s="120" t="s">
        <v>45</v>
      </c>
      <c r="O15" s="109">
        <v>0</v>
      </c>
      <c r="P15" s="109">
        <v>0</v>
      </c>
      <c r="Q15" s="120" t="s">
        <v>34</v>
      </c>
      <c r="R15" s="109">
        <f>0+0</f>
        <v>0</v>
      </c>
      <c r="S15" s="109">
        <f>0+0</f>
        <v>0</v>
      </c>
      <c r="T15" s="109">
        <f aca="true" t="shared" si="0" ref="T15:T81">R15+S15-S15</f>
        <v>0</v>
      </c>
      <c r="U15" s="109">
        <f>0+T15</f>
        <v>0</v>
      </c>
      <c r="V15" s="120" t="s">
        <v>124</v>
      </c>
    </row>
    <row r="16" spans="1:22" s="2" customFormat="1" ht="90" customHeight="1">
      <c r="A16" s="120" t="s">
        <v>123</v>
      </c>
      <c r="B16" s="181"/>
      <c r="C16" s="184"/>
      <c r="D16" s="184"/>
      <c r="E16" s="173"/>
      <c r="F16" s="173"/>
      <c r="G16" s="120" t="s">
        <v>119</v>
      </c>
      <c r="H16" s="120" t="s">
        <v>239</v>
      </c>
      <c r="I16" s="39" t="s">
        <v>140</v>
      </c>
      <c r="J16" s="38">
        <v>43612</v>
      </c>
      <c r="K16" s="113" t="s">
        <v>297</v>
      </c>
      <c r="L16" s="114">
        <v>367624.69</v>
      </c>
      <c r="M16" s="38">
        <v>43796</v>
      </c>
      <c r="N16" s="113" t="s">
        <v>287</v>
      </c>
      <c r="O16" s="109">
        <v>0</v>
      </c>
      <c r="P16" s="109">
        <v>0</v>
      </c>
      <c r="Q16" s="120" t="s">
        <v>34</v>
      </c>
      <c r="R16" s="109">
        <v>0</v>
      </c>
      <c r="S16" s="109">
        <f aca="true" t="shared" si="1" ref="S16:S81">0+0</f>
        <v>0</v>
      </c>
      <c r="T16" s="109">
        <f t="shared" si="0"/>
        <v>0</v>
      </c>
      <c r="U16" s="109">
        <f>0+80715.03+15186.93+T16</f>
        <v>95901.95999999999</v>
      </c>
      <c r="V16" s="120" t="s">
        <v>382</v>
      </c>
    </row>
    <row r="17" spans="1:22" s="2" customFormat="1" ht="90" customHeight="1">
      <c r="A17" s="120" t="s">
        <v>383</v>
      </c>
      <c r="B17" s="182"/>
      <c r="C17" s="185"/>
      <c r="D17" s="185"/>
      <c r="E17" s="174"/>
      <c r="F17" s="174"/>
      <c r="G17" s="120" t="s">
        <v>384</v>
      </c>
      <c r="H17" s="120" t="s">
        <v>385</v>
      </c>
      <c r="I17" s="39" t="s">
        <v>386</v>
      </c>
      <c r="J17" s="38">
        <v>36707</v>
      </c>
      <c r="K17" s="113" t="s">
        <v>297</v>
      </c>
      <c r="L17" s="114">
        <f>313561.5+1917.06</f>
        <v>315478.56</v>
      </c>
      <c r="M17" s="120" t="s">
        <v>45</v>
      </c>
      <c r="N17" s="120" t="s">
        <v>45</v>
      </c>
      <c r="O17" s="109">
        <v>0</v>
      </c>
      <c r="P17" s="109">
        <v>0</v>
      </c>
      <c r="Q17" s="120" t="s">
        <v>34</v>
      </c>
      <c r="R17" s="109">
        <f>1917.06+0</f>
        <v>1917.06</v>
      </c>
      <c r="S17" s="109">
        <v>1917.06</v>
      </c>
      <c r="T17" s="109">
        <f>R17+S17-S17</f>
        <v>1917.06</v>
      </c>
      <c r="U17" s="109">
        <f>0+T17</f>
        <v>1917.06</v>
      </c>
      <c r="V17" s="120" t="s">
        <v>47</v>
      </c>
    </row>
    <row r="18" spans="1:22" s="2" customFormat="1" ht="90" customHeight="1">
      <c r="A18" s="120" t="s">
        <v>72</v>
      </c>
      <c r="B18" s="180" t="s">
        <v>49</v>
      </c>
      <c r="C18" s="180" t="s">
        <v>68</v>
      </c>
      <c r="D18" s="183" t="s">
        <v>32</v>
      </c>
      <c r="E18" s="172">
        <v>975000</v>
      </c>
      <c r="F18" s="172">
        <f>109999.99+123735.04</f>
        <v>233735.03</v>
      </c>
      <c r="G18" s="120" t="s">
        <v>50</v>
      </c>
      <c r="H18" s="120" t="s">
        <v>240</v>
      </c>
      <c r="I18" s="117" t="s">
        <v>51</v>
      </c>
      <c r="J18" s="115">
        <v>41450</v>
      </c>
      <c r="K18" s="113" t="s">
        <v>292</v>
      </c>
      <c r="L18" s="33">
        <v>1037686.18</v>
      </c>
      <c r="M18" s="115">
        <v>41726</v>
      </c>
      <c r="N18" s="113" t="s">
        <v>387</v>
      </c>
      <c r="O18" s="109">
        <v>0</v>
      </c>
      <c r="P18" s="109">
        <v>0</v>
      </c>
      <c r="Q18" s="120" t="s">
        <v>34</v>
      </c>
      <c r="R18" s="109">
        <f>0+0</f>
        <v>0</v>
      </c>
      <c r="S18" s="109">
        <f t="shared" si="1"/>
        <v>0</v>
      </c>
      <c r="T18" s="109">
        <f t="shared" si="0"/>
        <v>0</v>
      </c>
      <c r="U18" s="109">
        <v>421246.26</v>
      </c>
      <c r="V18" s="120" t="s">
        <v>95</v>
      </c>
    </row>
    <row r="19" spans="1:22" s="2" customFormat="1" ht="90" customHeight="1">
      <c r="A19" s="120" t="s">
        <v>94</v>
      </c>
      <c r="B19" s="182"/>
      <c r="C19" s="182"/>
      <c r="D19" s="185"/>
      <c r="E19" s="174"/>
      <c r="F19" s="174"/>
      <c r="G19" s="120" t="s">
        <v>92</v>
      </c>
      <c r="H19" s="120" t="s">
        <v>91</v>
      </c>
      <c r="I19" s="117" t="s">
        <v>93</v>
      </c>
      <c r="J19" s="115">
        <v>42964</v>
      </c>
      <c r="K19" s="113" t="s">
        <v>297</v>
      </c>
      <c r="L19" s="33">
        <f>540500.13</f>
        <v>540500.13</v>
      </c>
      <c r="M19" s="120" t="s">
        <v>45</v>
      </c>
      <c r="N19" s="113" t="s">
        <v>291</v>
      </c>
      <c r="O19" s="109">
        <v>123108.38</v>
      </c>
      <c r="P19" s="109">
        <v>0</v>
      </c>
      <c r="Q19" s="120" t="s">
        <v>34</v>
      </c>
      <c r="R19" s="109">
        <v>0</v>
      </c>
      <c r="S19" s="109">
        <f t="shared" si="1"/>
        <v>0</v>
      </c>
      <c r="T19" s="109">
        <f t="shared" si="0"/>
        <v>0</v>
      </c>
      <c r="U19" s="109">
        <f>19305.43+60423.3+59048.16+5258.18+18206.19+38907.49+T19</f>
        <v>201148.75</v>
      </c>
      <c r="V19" s="120" t="s">
        <v>388</v>
      </c>
    </row>
    <row r="20" spans="1:22" s="3" customFormat="1" ht="159.75" customHeight="1">
      <c r="A20" s="120" t="s">
        <v>74</v>
      </c>
      <c r="B20" s="180" t="s">
        <v>143</v>
      </c>
      <c r="C20" s="180" t="s">
        <v>63</v>
      </c>
      <c r="D20" s="180" t="s">
        <v>32</v>
      </c>
      <c r="E20" s="186">
        <v>7000000</v>
      </c>
      <c r="F20" s="186">
        <v>368421.05</v>
      </c>
      <c r="G20" s="120" t="s">
        <v>58</v>
      </c>
      <c r="H20" s="120" t="s">
        <v>238</v>
      </c>
      <c r="I20" s="113" t="s">
        <v>64</v>
      </c>
      <c r="J20" s="115">
        <v>41609</v>
      </c>
      <c r="K20" s="113" t="s">
        <v>389</v>
      </c>
      <c r="L20" s="33">
        <v>444842.4</v>
      </c>
      <c r="M20" s="115">
        <v>41831</v>
      </c>
      <c r="N20" s="113" t="s">
        <v>353</v>
      </c>
      <c r="O20" s="109">
        <f>(-1)*96726.92</f>
        <v>-96726.92</v>
      </c>
      <c r="P20" s="109">
        <v>0</v>
      </c>
      <c r="Q20" s="120" t="s">
        <v>34</v>
      </c>
      <c r="R20" s="109">
        <f>0+0</f>
        <v>0</v>
      </c>
      <c r="S20" s="109">
        <f t="shared" si="1"/>
        <v>0</v>
      </c>
      <c r="T20" s="109">
        <f t="shared" si="0"/>
        <v>0</v>
      </c>
      <c r="U20" s="109">
        <f>203162.06+1202.33+1202.33+22844.28+22844.28-1202.33-4948.34+T20</f>
        <v>245104.61</v>
      </c>
      <c r="V20" s="120" t="s">
        <v>224</v>
      </c>
    </row>
    <row r="21" spans="1:22" s="2" customFormat="1" ht="159.75" customHeight="1">
      <c r="A21" s="119" t="s">
        <v>97</v>
      </c>
      <c r="B21" s="181"/>
      <c r="C21" s="181"/>
      <c r="D21" s="181"/>
      <c r="E21" s="187"/>
      <c r="F21" s="187"/>
      <c r="G21" s="120" t="s">
        <v>69</v>
      </c>
      <c r="H21" s="120" t="s">
        <v>75</v>
      </c>
      <c r="I21" s="113" t="s">
        <v>71</v>
      </c>
      <c r="J21" s="115">
        <v>42320</v>
      </c>
      <c r="K21" s="113" t="s">
        <v>157</v>
      </c>
      <c r="L21" s="33">
        <v>1349307.39</v>
      </c>
      <c r="M21" s="115">
        <v>42989</v>
      </c>
      <c r="N21" s="113" t="s">
        <v>290</v>
      </c>
      <c r="O21" s="109">
        <v>0</v>
      </c>
      <c r="P21" s="109">
        <v>0</v>
      </c>
      <c r="Q21" s="120" t="s">
        <v>34</v>
      </c>
      <c r="R21" s="109">
        <f>0+0</f>
        <v>0</v>
      </c>
      <c r="S21" s="109">
        <f t="shared" si="1"/>
        <v>0</v>
      </c>
      <c r="T21" s="109">
        <f t="shared" si="0"/>
        <v>0</v>
      </c>
      <c r="U21" s="109">
        <f>678670.46+T21</f>
        <v>678670.46</v>
      </c>
      <c r="V21" s="120" t="s">
        <v>368</v>
      </c>
    </row>
    <row r="22" spans="1:22" s="3" customFormat="1" ht="159.75" customHeight="1">
      <c r="A22" s="120" t="s">
        <v>98</v>
      </c>
      <c r="B22" s="181"/>
      <c r="C22" s="181"/>
      <c r="D22" s="181"/>
      <c r="E22" s="187"/>
      <c r="F22" s="187"/>
      <c r="G22" s="120" t="s">
        <v>69</v>
      </c>
      <c r="H22" s="120" t="s">
        <v>96</v>
      </c>
      <c r="I22" s="113" t="s">
        <v>99</v>
      </c>
      <c r="J22" s="115">
        <v>42534</v>
      </c>
      <c r="K22" s="113" t="s">
        <v>157</v>
      </c>
      <c r="L22" s="33">
        <v>3057573.79</v>
      </c>
      <c r="M22" s="115">
        <v>43021</v>
      </c>
      <c r="N22" s="113" t="s">
        <v>267</v>
      </c>
      <c r="O22" s="109">
        <v>0</v>
      </c>
      <c r="P22" s="109">
        <v>0</v>
      </c>
      <c r="Q22" s="120" t="s">
        <v>34</v>
      </c>
      <c r="R22" s="109">
        <f>0+0</f>
        <v>0</v>
      </c>
      <c r="S22" s="109">
        <f t="shared" si="1"/>
        <v>0</v>
      </c>
      <c r="T22" s="109">
        <f t="shared" si="0"/>
        <v>0</v>
      </c>
      <c r="U22" s="109">
        <f>592409.39+T22</f>
        <v>592409.39</v>
      </c>
      <c r="V22" s="120" t="s">
        <v>368</v>
      </c>
    </row>
    <row r="23" spans="1:22" s="5" customFormat="1" ht="90" customHeight="1">
      <c r="A23" s="120" t="s">
        <v>73</v>
      </c>
      <c r="B23" s="188" t="s">
        <v>52</v>
      </c>
      <c r="C23" s="188" t="s">
        <v>53</v>
      </c>
      <c r="D23" s="188" t="s">
        <v>32</v>
      </c>
      <c r="E23" s="153">
        <v>975000</v>
      </c>
      <c r="F23" s="153">
        <v>51316</v>
      </c>
      <c r="G23" s="120" t="s">
        <v>48</v>
      </c>
      <c r="H23" s="120" t="s">
        <v>241</v>
      </c>
      <c r="I23" s="120" t="s">
        <v>59</v>
      </c>
      <c r="J23" s="79">
        <v>41214</v>
      </c>
      <c r="K23" s="120" t="s">
        <v>56</v>
      </c>
      <c r="L23" s="114">
        <v>706503.28</v>
      </c>
      <c r="M23" s="120" t="s">
        <v>45</v>
      </c>
      <c r="N23" s="120" t="s">
        <v>45</v>
      </c>
      <c r="O23" s="109">
        <v>0</v>
      </c>
      <c r="P23" s="109">
        <v>0</v>
      </c>
      <c r="Q23" s="120" t="s">
        <v>34</v>
      </c>
      <c r="R23" s="109">
        <f>0+0</f>
        <v>0</v>
      </c>
      <c r="S23" s="109">
        <f t="shared" si="1"/>
        <v>0</v>
      </c>
      <c r="T23" s="109">
        <f t="shared" si="0"/>
        <v>0</v>
      </c>
      <c r="U23" s="109">
        <f>99976.25+T23</f>
        <v>99976.25</v>
      </c>
      <c r="V23" s="120" t="s">
        <v>152</v>
      </c>
    </row>
    <row r="24" spans="1:22" s="5" customFormat="1" ht="90" customHeight="1">
      <c r="A24" s="120" t="s">
        <v>102</v>
      </c>
      <c r="B24" s="188"/>
      <c r="C24" s="188"/>
      <c r="D24" s="188"/>
      <c r="E24" s="153"/>
      <c r="F24" s="153"/>
      <c r="G24" s="120" t="s">
        <v>101</v>
      </c>
      <c r="H24" s="120" t="s">
        <v>100</v>
      </c>
      <c r="I24" s="120" t="s">
        <v>103</v>
      </c>
      <c r="J24" s="115">
        <v>43047</v>
      </c>
      <c r="K24" s="113" t="s">
        <v>297</v>
      </c>
      <c r="L24" s="33">
        <v>763730.87</v>
      </c>
      <c r="M24" s="79">
        <v>44474</v>
      </c>
      <c r="N24" s="113" t="s">
        <v>289</v>
      </c>
      <c r="O24" s="109">
        <f>(-1)*11728.62</f>
        <v>-11728.62</v>
      </c>
      <c r="P24" s="109">
        <v>0</v>
      </c>
      <c r="Q24" s="120" t="s">
        <v>34</v>
      </c>
      <c r="R24" s="109">
        <f>0</f>
        <v>0</v>
      </c>
      <c r="S24" s="109">
        <f t="shared" si="1"/>
        <v>0</v>
      </c>
      <c r="T24" s="109">
        <f t="shared" si="0"/>
        <v>0</v>
      </c>
      <c r="U24" s="109">
        <f>0+338333.55+142221.8+44362.37+21020.4+T24</f>
        <v>545938.12</v>
      </c>
      <c r="V24" s="120" t="s">
        <v>224</v>
      </c>
    </row>
    <row r="25" spans="1:22" s="5" customFormat="1" ht="90" customHeight="1">
      <c r="A25" s="120" t="s">
        <v>77</v>
      </c>
      <c r="B25" s="180" t="s">
        <v>54</v>
      </c>
      <c r="C25" s="180" t="s">
        <v>55</v>
      </c>
      <c r="D25" s="180" t="s">
        <v>32</v>
      </c>
      <c r="E25" s="163">
        <v>1950000</v>
      </c>
      <c r="F25" s="163">
        <f>102634.58+318254.97</f>
        <v>420889.55</v>
      </c>
      <c r="G25" s="120" t="s">
        <v>48</v>
      </c>
      <c r="H25" s="120" t="s">
        <v>241</v>
      </c>
      <c r="I25" s="120" t="s">
        <v>59</v>
      </c>
      <c r="J25" s="79">
        <v>41540</v>
      </c>
      <c r="K25" s="120" t="s">
        <v>57</v>
      </c>
      <c r="L25" s="114">
        <v>1772830.04</v>
      </c>
      <c r="M25" s="120" t="s">
        <v>45</v>
      </c>
      <c r="N25" s="120" t="s">
        <v>45</v>
      </c>
      <c r="O25" s="109">
        <v>0</v>
      </c>
      <c r="P25" s="109">
        <v>0</v>
      </c>
      <c r="Q25" s="120" t="s">
        <v>34</v>
      </c>
      <c r="R25" s="109">
        <f aca="true" t="shared" si="2" ref="R25:R33">0+0</f>
        <v>0</v>
      </c>
      <c r="S25" s="109">
        <f t="shared" si="1"/>
        <v>0</v>
      </c>
      <c r="T25" s="109">
        <f t="shared" si="0"/>
        <v>0</v>
      </c>
      <c r="U25" s="109">
        <v>16455.73</v>
      </c>
      <c r="V25" s="121" t="s">
        <v>152</v>
      </c>
    </row>
    <row r="26" spans="1:22" s="5" customFormat="1" ht="90" customHeight="1">
      <c r="A26" s="120" t="s">
        <v>102</v>
      </c>
      <c r="B26" s="182"/>
      <c r="C26" s="182"/>
      <c r="D26" s="182"/>
      <c r="E26" s="164"/>
      <c r="F26" s="164"/>
      <c r="G26" s="120" t="s">
        <v>101</v>
      </c>
      <c r="H26" s="120" t="s">
        <v>100</v>
      </c>
      <c r="I26" s="120" t="s">
        <v>103</v>
      </c>
      <c r="J26" s="115">
        <v>43047</v>
      </c>
      <c r="K26" s="113" t="s">
        <v>297</v>
      </c>
      <c r="L26" s="33">
        <v>1955399.63</v>
      </c>
      <c r="M26" s="79">
        <v>44474</v>
      </c>
      <c r="N26" s="113" t="s">
        <v>289</v>
      </c>
      <c r="O26" s="109">
        <f>148640.5+59768.85</f>
        <v>208409.35</v>
      </c>
      <c r="P26" s="109">
        <v>0</v>
      </c>
      <c r="Q26" s="120" t="s">
        <v>34</v>
      </c>
      <c r="R26" s="109">
        <f t="shared" si="2"/>
        <v>0</v>
      </c>
      <c r="S26" s="109">
        <f t="shared" si="1"/>
        <v>0</v>
      </c>
      <c r="T26" s="109">
        <f t="shared" si="0"/>
        <v>0</v>
      </c>
      <c r="U26" s="109">
        <f>0+1607777.52+376726.82+95583.42+T26</f>
        <v>2080087.76</v>
      </c>
      <c r="V26" s="120" t="s">
        <v>224</v>
      </c>
    </row>
    <row r="27" spans="1:22" s="5" customFormat="1" ht="109.5" customHeight="1">
      <c r="A27" s="120" t="s">
        <v>125</v>
      </c>
      <c r="B27" s="120" t="s">
        <v>126</v>
      </c>
      <c r="C27" s="113" t="s">
        <v>79</v>
      </c>
      <c r="D27" s="120" t="s">
        <v>32</v>
      </c>
      <c r="E27" s="109">
        <f>(3900000-3900000)+1649002.36</f>
        <v>1649002.36</v>
      </c>
      <c r="F27" s="109">
        <v>68708.43</v>
      </c>
      <c r="G27" s="120" t="s">
        <v>128</v>
      </c>
      <c r="H27" s="120" t="s">
        <v>127</v>
      </c>
      <c r="I27" s="113" t="s">
        <v>129</v>
      </c>
      <c r="J27" s="79">
        <v>43522</v>
      </c>
      <c r="K27" s="120" t="s">
        <v>390</v>
      </c>
      <c r="L27" s="114">
        <v>1201378.67</v>
      </c>
      <c r="M27" s="120" t="s">
        <v>45</v>
      </c>
      <c r="N27" s="120" t="s">
        <v>288</v>
      </c>
      <c r="O27" s="109">
        <v>0</v>
      </c>
      <c r="P27" s="109">
        <v>0</v>
      </c>
      <c r="Q27" s="120" t="s">
        <v>34</v>
      </c>
      <c r="R27" s="109">
        <f t="shared" si="2"/>
        <v>0</v>
      </c>
      <c r="S27" s="109">
        <f t="shared" si="1"/>
        <v>0</v>
      </c>
      <c r="T27" s="109">
        <f t="shared" si="0"/>
        <v>0</v>
      </c>
      <c r="U27" s="109">
        <f>0+277629.18+244951.85+T27</f>
        <v>522581.03</v>
      </c>
      <c r="V27" s="120" t="s">
        <v>391</v>
      </c>
    </row>
    <row r="28" spans="1:22" s="5" customFormat="1" ht="150" customHeight="1">
      <c r="A28" s="120" t="s">
        <v>131</v>
      </c>
      <c r="B28" s="122" t="s">
        <v>130</v>
      </c>
      <c r="C28" s="122" t="s">
        <v>80</v>
      </c>
      <c r="D28" s="122" t="s">
        <v>32</v>
      </c>
      <c r="E28" s="118">
        <v>975000</v>
      </c>
      <c r="F28" s="118">
        <f>25000+168604.09</f>
        <v>193604.09</v>
      </c>
      <c r="G28" s="120" t="s">
        <v>107</v>
      </c>
      <c r="H28" s="120" t="s">
        <v>81</v>
      </c>
      <c r="I28" s="120" t="s">
        <v>82</v>
      </c>
      <c r="J28" s="79">
        <v>42626</v>
      </c>
      <c r="K28" s="120" t="s">
        <v>157</v>
      </c>
      <c r="L28" s="114">
        <v>771650.5</v>
      </c>
      <c r="M28" s="79">
        <v>43462</v>
      </c>
      <c r="N28" s="120" t="s">
        <v>287</v>
      </c>
      <c r="O28" s="109">
        <v>153719.86</v>
      </c>
      <c r="P28" s="109">
        <v>0</v>
      </c>
      <c r="Q28" s="120" t="s">
        <v>34</v>
      </c>
      <c r="R28" s="109">
        <f t="shared" si="2"/>
        <v>0</v>
      </c>
      <c r="S28" s="109">
        <f t="shared" si="1"/>
        <v>0</v>
      </c>
      <c r="T28" s="109">
        <f t="shared" si="0"/>
        <v>0</v>
      </c>
      <c r="U28" s="109">
        <f>377295.64+0+T28</f>
        <v>377295.64</v>
      </c>
      <c r="V28" s="120" t="s">
        <v>392</v>
      </c>
    </row>
    <row r="29" spans="1:22" s="5" customFormat="1" ht="90" customHeight="1">
      <c r="A29" s="120" t="s">
        <v>104</v>
      </c>
      <c r="B29" s="180" t="s">
        <v>133</v>
      </c>
      <c r="C29" s="183" t="s">
        <v>83</v>
      </c>
      <c r="D29" s="180" t="s">
        <v>32</v>
      </c>
      <c r="E29" s="172">
        <v>243750</v>
      </c>
      <c r="F29" s="172">
        <v>6250</v>
      </c>
      <c r="G29" s="120" t="s">
        <v>106</v>
      </c>
      <c r="H29" s="120" t="s">
        <v>105</v>
      </c>
      <c r="I29" s="120" t="s">
        <v>108</v>
      </c>
      <c r="J29" s="79">
        <v>42914</v>
      </c>
      <c r="K29" s="120" t="s">
        <v>353</v>
      </c>
      <c r="L29" s="114">
        <v>235896.03</v>
      </c>
      <c r="M29" s="79">
        <v>43006</v>
      </c>
      <c r="N29" s="120" t="s">
        <v>286</v>
      </c>
      <c r="O29" s="109">
        <v>0</v>
      </c>
      <c r="P29" s="109">
        <v>0</v>
      </c>
      <c r="Q29" s="120" t="s">
        <v>34</v>
      </c>
      <c r="R29" s="109">
        <f t="shared" si="2"/>
        <v>0</v>
      </c>
      <c r="S29" s="109">
        <f t="shared" si="1"/>
        <v>0</v>
      </c>
      <c r="T29" s="109">
        <f t="shared" si="0"/>
        <v>0</v>
      </c>
      <c r="U29" s="109">
        <f>117543.66+37823.35+26813.29+T29</f>
        <v>182180.30000000002</v>
      </c>
      <c r="V29" s="120" t="s">
        <v>152</v>
      </c>
    </row>
    <row r="30" spans="1:22" s="5" customFormat="1" ht="90" customHeight="1">
      <c r="A30" s="120" t="s">
        <v>199</v>
      </c>
      <c r="B30" s="182"/>
      <c r="C30" s="185"/>
      <c r="D30" s="182"/>
      <c r="E30" s="174"/>
      <c r="F30" s="174"/>
      <c r="G30" s="120" t="s">
        <v>196</v>
      </c>
      <c r="H30" s="120" t="s">
        <v>197</v>
      </c>
      <c r="I30" s="120" t="s">
        <v>198</v>
      </c>
      <c r="J30" s="79">
        <v>44091</v>
      </c>
      <c r="K30" s="120" t="s">
        <v>353</v>
      </c>
      <c r="L30" s="114">
        <v>55367.31</v>
      </c>
      <c r="M30" s="79">
        <v>44509</v>
      </c>
      <c r="N30" s="113" t="s">
        <v>33</v>
      </c>
      <c r="O30" s="109">
        <v>0</v>
      </c>
      <c r="P30" s="109">
        <v>0</v>
      </c>
      <c r="Q30" s="120" t="s">
        <v>34</v>
      </c>
      <c r="R30" s="109">
        <f t="shared" si="2"/>
        <v>0</v>
      </c>
      <c r="S30" s="109">
        <f t="shared" si="1"/>
        <v>0</v>
      </c>
      <c r="T30" s="109">
        <f t="shared" si="0"/>
        <v>0</v>
      </c>
      <c r="U30" s="109">
        <f>24703.48+T30</f>
        <v>24703.48</v>
      </c>
      <c r="V30" s="120" t="s">
        <v>224</v>
      </c>
    </row>
    <row r="31" spans="1:22" s="5" customFormat="1" ht="129.75" customHeight="1">
      <c r="A31" s="120" t="s">
        <v>135</v>
      </c>
      <c r="B31" s="122" t="s">
        <v>134</v>
      </c>
      <c r="C31" s="122" t="s">
        <v>85</v>
      </c>
      <c r="D31" s="122" t="s">
        <v>32</v>
      </c>
      <c r="E31" s="118">
        <v>585000</v>
      </c>
      <c r="F31" s="118">
        <v>15000</v>
      </c>
      <c r="G31" s="120" t="s">
        <v>86</v>
      </c>
      <c r="H31" s="120" t="s">
        <v>87</v>
      </c>
      <c r="I31" s="120" t="s">
        <v>88</v>
      </c>
      <c r="J31" s="79">
        <v>42414</v>
      </c>
      <c r="K31" s="120" t="s">
        <v>157</v>
      </c>
      <c r="L31" s="114">
        <v>590411.32</v>
      </c>
      <c r="M31" s="79">
        <v>43526</v>
      </c>
      <c r="N31" s="120" t="s">
        <v>206</v>
      </c>
      <c r="O31" s="109">
        <v>0</v>
      </c>
      <c r="P31" s="109">
        <v>0</v>
      </c>
      <c r="Q31" s="120" t="s">
        <v>34</v>
      </c>
      <c r="R31" s="109">
        <f t="shared" si="2"/>
        <v>0</v>
      </c>
      <c r="S31" s="109">
        <f t="shared" si="1"/>
        <v>0</v>
      </c>
      <c r="T31" s="109">
        <f t="shared" si="0"/>
        <v>0</v>
      </c>
      <c r="U31" s="109">
        <f>262625.98+T31</f>
        <v>262625.98</v>
      </c>
      <c r="V31" s="120" t="s">
        <v>369</v>
      </c>
    </row>
    <row r="32" spans="1:22" s="5" customFormat="1" ht="159.75" customHeight="1">
      <c r="A32" s="120" t="s">
        <v>114</v>
      </c>
      <c r="B32" s="120" t="s">
        <v>136</v>
      </c>
      <c r="C32" s="113" t="s">
        <v>89</v>
      </c>
      <c r="D32" s="120" t="s">
        <v>32</v>
      </c>
      <c r="E32" s="109">
        <v>243750</v>
      </c>
      <c r="F32" s="109">
        <v>6250</v>
      </c>
      <c r="G32" s="120" t="s">
        <v>112</v>
      </c>
      <c r="H32" s="120" t="s">
        <v>111</v>
      </c>
      <c r="I32" s="120" t="s">
        <v>113</v>
      </c>
      <c r="J32" s="79">
        <v>43024</v>
      </c>
      <c r="K32" s="120" t="s">
        <v>353</v>
      </c>
      <c r="L32" s="114">
        <v>238420.69</v>
      </c>
      <c r="M32" s="79">
        <v>43754</v>
      </c>
      <c r="N32" s="120" t="s">
        <v>393</v>
      </c>
      <c r="O32" s="109">
        <v>0</v>
      </c>
      <c r="P32" s="109">
        <v>0</v>
      </c>
      <c r="Q32" s="120" t="s">
        <v>34</v>
      </c>
      <c r="R32" s="109">
        <f t="shared" si="2"/>
        <v>0</v>
      </c>
      <c r="S32" s="109">
        <f t="shared" si="1"/>
        <v>0</v>
      </c>
      <c r="T32" s="109">
        <f t="shared" si="0"/>
        <v>0</v>
      </c>
      <c r="U32" s="109">
        <f>0+105716.39+T32</f>
        <v>105716.39</v>
      </c>
      <c r="V32" s="120" t="s">
        <v>370</v>
      </c>
    </row>
    <row r="33" spans="1:22" s="5" customFormat="1" ht="120" customHeight="1">
      <c r="A33" s="120" t="s">
        <v>116</v>
      </c>
      <c r="B33" s="180" t="s">
        <v>138</v>
      </c>
      <c r="C33" s="180" t="s">
        <v>90</v>
      </c>
      <c r="D33" s="180" t="s">
        <v>32</v>
      </c>
      <c r="E33" s="186">
        <v>1066939.58</v>
      </c>
      <c r="F33" s="186">
        <v>1070</v>
      </c>
      <c r="G33" s="120" t="s">
        <v>109</v>
      </c>
      <c r="H33" s="120" t="s">
        <v>115</v>
      </c>
      <c r="I33" s="120" t="s">
        <v>137</v>
      </c>
      <c r="J33" s="79">
        <v>43228</v>
      </c>
      <c r="K33" s="120" t="s">
        <v>297</v>
      </c>
      <c r="L33" s="114">
        <v>1045240.18</v>
      </c>
      <c r="M33" s="79">
        <v>43777</v>
      </c>
      <c r="N33" s="113" t="s">
        <v>33</v>
      </c>
      <c r="O33" s="109">
        <v>0</v>
      </c>
      <c r="P33" s="109">
        <v>0</v>
      </c>
      <c r="Q33" s="120" t="s">
        <v>34</v>
      </c>
      <c r="R33" s="109">
        <f t="shared" si="2"/>
        <v>0</v>
      </c>
      <c r="S33" s="109">
        <f t="shared" si="1"/>
        <v>0</v>
      </c>
      <c r="T33" s="109">
        <f t="shared" si="0"/>
        <v>0</v>
      </c>
      <c r="U33" s="109">
        <f>0+34803.14+81054.93+T33</f>
        <v>115858.06999999999</v>
      </c>
      <c r="V33" s="120" t="s">
        <v>394</v>
      </c>
    </row>
    <row r="34" spans="1:22" s="5" customFormat="1" ht="120" customHeight="1">
      <c r="A34" s="120" t="s">
        <v>426</v>
      </c>
      <c r="B34" s="182"/>
      <c r="C34" s="182"/>
      <c r="D34" s="182"/>
      <c r="E34" s="189"/>
      <c r="F34" s="189"/>
      <c r="G34" s="120" t="s">
        <v>427</v>
      </c>
      <c r="H34" s="120" t="s">
        <v>428</v>
      </c>
      <c r="I34" s="120" t="s">
        <v>429</v>
      </c>
      <c r="J34" s="79">
        <v>44748</v>
      </c>
      <c r="K34" s="120" t="s">
        <v>157</v>
      </c>
      <c r="L34" s="114">
        <f>795526.47+4170.84+0</f>
        <v>799697.3099999999</v>
      </c>
      <c r="M34" s="120" t="s">
        <v>45</v>
      </c>
      <c r="N34" s="120" t="s">
        <v>45</v>
      </c>
      <c r="O34" s="109">
        <v>0</v>
      </c>
      <c r="P34" s="109">
        <v>0</v>
      </c>
      <c r="Q34" s="120" t="s">
        <v>34</v>
      </c>
      <c r="R34" s="109">
        <f>0+0</f>
        <v>0</v>
      </c>
      <c r="S34" s="109">
        <f t="shared" si="1"/>
        <v>0</v>
      </c>
      <c r="T34" s="109">
        <f>R34+S34-S34</f>
        <v>0</v>
      </c>
      <c r="U34" s="109">
        <f>0+T34</f>
        <v>0</v>
      </c>
      <c r="V34" s="120" t="s">
        <v>47</v>
      </c>
    </row>
    <row r="35" spans="1:22" s="5" customFormat="1" ht="90" customHeight="1">
      <c r="A35" s="34" t="s">
        <v>395</v>
      </c>
      <c r="B35" s="107" t="s">
        <v>396</v>
      </c>
      <c r="C35" s="37" t="s">
        <v>397</v>
      </c>
      <c r="D35" s="108" t="s">
        <v>32</v>
      </c>
      <c r="E35" s="109">
        <v>564124.28</v>
      </c>
      <c r="F35" s="109">
        <v>1200</v>
      </c>
      <c r="G35" s="108" t="s">
        <v>128</v>
      </c>
      <c r="H35" s="108" t="s">
        <v>127</v>
      </c>
      <c r="I35" s="108" t="s">
        <v>398</v>
      </c>
      <c r="J35" s="30">
        <v>43276</v>
      </c>
      <c r="K35" s="108" t="s">
        <v>44</v>
      </c>
      <c r="L35" s="28">
        <v>361197.82</v>
      </c>
      <c r="M35" s="30">
        <v>44355</v>
      </c>
      <c r="N35" s="37" t="s">
        <v>399</v>
      </c>
      <c r="O35" s="109">
        <v>0</v>
      </c>
      <c r="P35" s="109">
        <v>0</v>
      </c>
      <c r="Q35" s="108">
        <v>44.9</v>
      </c>
      <c r="R35" s="109">
        <v>0</v>
      </c>
      <c r="S35" s="109">
        <f t="shared" si="1"/>
        <v>0</v>
      </c>
      <c r="T35" s="109">
        <f>R35-S35+S35</f>
        <v>0</v>
      </c>
      <c r="U35" s="109">
        <f>0+282039.72+78316.56+T35</f>
        <v>360356.27999999997</v>
      </c>
      <c r="V35" s="120" t="s">
        <v>62</v>
      </c>
    </row>
    <row r="36" spans="1:22" s="5" customFormat="1" ht="159.75" customHeight="1">
      <c r="A36" s="123" t="s">
        <v>231</v>
      </c>
      <c r="B36" s="122" t="s">
        <v>226</v>
      </c>
      <c r="C36" s="113" t="s">
        <v>227</v>
      </c>
      <c r="D36" s="120" t="s">
        <v>32</v>
      </c>
      <c r="E36" s="109">
        <f>911877.39-73178.97</f>
        <v>838698.42</v>
      </c>
      <c r="F36" s="109">
        <v>1344.07</v>
      </c>
      <c r="G36" s="120" t="s">
        <v>228</v>
      </c>
      <c r="H36" s="120" t="s">
        <v>237</v>
      </c>
      <c r="I36" s="120" t="s">
        <v>229</v>
      </c>
      <c r="J36" s="79">
        <v>44436</v>
      </c>
      <c r="K36" s="120" t="s">
        <v>353</v>
      </c>
      <c r="L36" s="114">
        <v>699980.75</v>
      </c>
      <c r="M36" s="120" t="s">
        <v>45</v>
      </c>
      <c r="N36" s="113" t="s">
        <v>400</v>
      </c>
      <c r="O36" s="109">
        <v>0</v>
      </c>
      <c r="P36" s="109">
        <v>0</v>
      </c>
      <c r="Q36" s="120" t="s">
        <v>230</v>
      </c>
      <c r="R36" s="109">
        <f>22637.71+18047.36+122832.61+0</f>
        <v>163517.68</v>
      </c>
      <c r="S36" s="109">
        <v>122832.61</v>
      </c>
      <c r="T36" s="109">
        <f t="shared" si="0"/>
        <v>163517.68</v>
      </c>
      <c r="U36" s="109">
        <f>0+T36</f>
        <v>163517.68</v>
      </c>
      <c r="V36" s="120" t="s">
        <v>47</v>
      </c>
    </row>
    <row r="37" spans="1:22" ht="140.25" customHeight="1">
      <c r="A37" s="123" t="s">
        <v>430</v>
      </c>
      <c r="B37" s="122" t="s">
        <v>207</v>
      </c>
      <c r="C37" s="113" t="s">
        <v>208</v>
      </c>
      <c r="D37" s="120" t="s">
        <v>32</v>
      </c>
      <c r="E37" s="109">
        <v>349671.39</v>
      </c>
      <c r="F37" s="109">
        <v>490.23</v>
      </c>
      <c r="G37" s="120" t="s">
        <v>84</v>
      </c>
      <c r="H37" s="120" t="s">
        <v>209</v>
      </c>
      <c r="I37" s="120" t="s">
        <v>210</v>
      </c>
      <c r="J37" s="79">
        <v>43888</v>
      </c>
      <c r="K37" s="120" t="s">
        <v>297</v>
      </c>
      <c r="L37" s="114">
        <v>308102.5</v>
      </c>
      <c r="M37" s="79">
        <v>44279</v>
      </c>
      <c r="N37" s="120" t="s">
        <v>184</v>
      </c>
      <c r="O37" s="109">
        <v>0</v>
      </c>
      <c r="P37" s="109">
        <v>0</v>
      </c>
      <c r="Q37" s="120">
        <v>44.9</v>
      </c>
      <c r="R37" s="109">
        <f>0+0</f>
        <v>0</v>
      </c>
      <c r="S37" s="109">
        <f t="shared" si="1"/>
        <v>0</v>
      </c>
      <c r="T37" s="109">
        <f t="shared" si="0"/>
        <v>0</v>
      </c>
      <c r="U37" s="109">
        <f>0+T37</f>
        <v>0</v>
      </c>
      <c r="V37" s="120" t="s">
        <v>372</v>
      </c>
    </row>
    <row r="38" spans="1:22" ht="180" customHeight="1">
      <c r="A38" s="120" t="s">
        <v>190</v>
      </c>
      <c r="B38" s="120" t="s">
        <v>191</v>
      </c>
      <c r="C38" s="120" t="s">
        <v>60</v>
      </c>
      <c r="D38" s="120" t="s">
        <v>60</v>
      </c>
      <c r="E38" s="109" t="s">
        <v>60</v>
      </c>
      <c r="F38" s="109">
        <v>232571.71</v>
      </c>
      <c r="G38" s="120" t="s">
        <v>192</v>
      </c>
      <c r="H38" s="120" t="s">
        <v>236</v>
      </c>
      <c r="I38" s="120" t="s">
        <v>193</v>
      </c>
      <c r="J38" s="79">
        <v>43777</v>
      </c>
      <c r="K38" s="120" t="s">
        <v>157</v>
      </c>
      <c r="L38" s="114">
        <v>232571.71</v>
      </c>
      <c r="M38" s="79">
        <v>44546</v>
      </c>
      <c r="N38" s="113" t="s">
        <v>287</v>
      </c>
      <c r="O38" s="109">
        <v>0</v>
      </c>
      <c r="P38" s="109">
        <v>0</v>
      </c>
      <c r="Q38" s="120">
        <v>44.9</v>
      </c>
      <c r="R38" s="109">
        <f>0+0</f>
        <v>0</v>
      </c>
      <c r="S38" s="109">
        <f t="shared" si="1"/>
        <v>0</v>
      </c>
      <c r="T38" s="109">
        <f t="shared" si="0"/>
        <v>0</v>
      </c>
      <c r="U38" s="109">
        <f>0+182041.88+29981.22+T38</f>
        <v>212023.1</v>
      </c>
      <c r="V38" s="120" t="s">
        <v>224</v>
      </c>
    </row>
    <row r="39" spans="1:22" ht="180" customHeight="1">
      <c r="A39" s="120" t="s">
        <v>242</v>
      </c>
      <c r="B39" s="122" t="s">
        <v>233</v>
      </c>
      <c r="C39" s="120" t="s">
        <v>60</v>
      </c>
      <c r="D39" s="120" t="s">
        <v>60</v>
      </c>
      <c r="E39" s="109" t="s">
        <v>60</v>
      </c>
      <c r="F39" s="112">
        <v>34606.51</v>
      </c>
      <c r="G39" s="120" t="s">
        <v>234</v>
      </c>
      <c r="H39" s="120" t="s">
        <v>235</v>
      </c>
      <c r="I39" s="120" t="s">
        <v>243</v>
      </c>
      <c r="J39" s="79">
        <v>44412</v>
      </c>
      <c r="K39" s="120" t="s">
        <v>157</v>
      </c>
      <c r="L39" s="114">
        <v>31902.26</v>
      </c>
      <c r="M39" s="79">
        <v>44742</v>
      </c>
      <c r="N39" s="113" t="s">
        <v>389</v>
      </c>
      <c r="O39" s="109">
        <v>0</v>
      </c>
      <c r="P39" s="73">
        <v>0</v>
      </c>
      <c r="Q39" s="124" t="s">
        <v>230</v>
      </c>
      <c r="R39" s="109">
        <f>14356.02+9570.68+0</f>
        <v>23926.7</v>
      </c>
      <c r="S39" s="109">
        <f t="shared" si="1"/>
        <v>0</v>
      </c>
      <c r="T39" s="109">
        <f t="shared" si="0"/>
        <v>23926.7</v>
      </c>
      <c r="U39" s="109">
        <f>7975.56+T39</f>
        <v>31902.260000000002</v>
      </c>
      <c r="V39" s="116" t="s">
        <v>401</v>
      </c>
    </row>
    <row r="40" spans="1:22" ht="146.25" customHeight="1">
      <c r="A40" s="120" t="s">
        <v>245</v>
      </c>
      <c r="B40" s="122" t="s">
        <v>244</v>
      </c>
      <c r="C40" s="120" t="s">
        <v>60</v>
      </c>
      <c r="D40" s="120" t="s">
        <v>60</v>
      </c>
      <c r="E40" s="109" t="s">
        <v>60</v>
      </c>
      <c r="F40" s="112">
        <v>1470596.55</v>
      </c>
      <c r="G40" s="120" t="s">
        <v>246</v>
      </c>
      <c r="H40" s="120" t="s">
        <v>247</v>
      </c>
      <c r="I40" s="120" t="s">
        <v>248</v>
      </c>
      <c r="J40" s="79">
        <v>44491</v>
      </c>
      <c r="K40" s="120" t="s">
        <v>389</v>
      </c>
      <c r="L40" s="114">
        <v>1301520.64</v>
      </c>
      <c r="M40" s="120" t="s">
        <v>45</v>
      </c>
      <c r="N40" s="120" t="s">
        <v>402</v>
      </c>
      <c r="O40" s="109">
        <v>0</v>
      </c>
      <c r="P40" s="73">
        <v>0</v>
      </c>
      <c r="Q40" s="124" t="s">
        <v>230</v>
      </c>
      <c r="R40" s="109">
        <f>28181.87+46061.83+73673.36+115976.84+47565.747+0</f>
        <v>311459.647</v>
      </c>
      <c r="S40" s="109">
        <v>47565.747</v>
      </c>
      <c r="T40" s="109">
        <f t="shared" si="0"/>
        <v>311459.647</v>
      </c>
      <c r="U40" s="109">
        <f>0+T40</f>
        <v>311459.647</v>
      </c>
      <c r="V40" s="116" t="s">
        <v>47</v>
      </c>
    </row>
    <row r="41" spans="1:22" ht="120" customHeight="1">
      <c r="A41" s="120" t="s">
        <v>250</v>
      </c>
      <c r="B41" s="122" t="s">
        <v>249</v>
      </c>
      <c r="C41" s="120" t="s">
        <v>60</v>
      </c>
      <c r="D41" s="120" t="s">
        <v>60</v>
      </c>
      <c r="E41" s="109" t="s">
        <v>60</v>
      </c>
      <c r="F41" s="112">
        <v>368030.01</v>
      </c>
      <c r="G41" s="120" t="s">
        <v>251</v>
      </c>
      <c r="H41" s="120" t="s">
        <v>252</v>
      </c>
      <c r="I41" s="120" t="s">
        <v>253</v>
      </c>
      <c r="J41" s="79">
        <v>44495</v>
      </c>
      <c r="K41" s="120" t="s">
        <v>157</v>
      </c>
      <c r="L41" s="114">
        <v>365478.68</v>
      </c>
      <c r="M41" s="120" t="s">
        <v>45</v>
      </c>
      <c r="N41" s="120" t="s">
        <v>157</v>
      </c>
      <c r="O41" s="109">
        <v>0</v>
      </c>
      <c r="P41" s="73">
        <v>0</v>
      </c>
      <c r="Q41" s="124" t="s">
        <v>230</v>
      </c>
      <c r="R41" s="109">
        <f>68623.54+54303.93+170272.56+0</f>
        <v>293200.03</v>
      </c>
      <c r="S41" s="109">
        <v>170272.56</v>
      </c>
      <c r="T41" s="109">
        <f t="shared" si="0"/>
        <v>293200.03</v>
      </c>
      <c r="U41" s="109">
        <f aca="true" t="shared" si="3" ref="U41:U61">0+T41</f>
        <v>293200.03</v>
      </c>
      <c r="V41" s="116" t="s">
        <v>47</v>
      </c>
    </row>
    <row r="42" spans="1:22" ht="120" customHeight="1">
      <c r="A42" s="120" t="s">
        <v>255</v>
      </c>
      <c r="B42" s="122" t="s">
        <v>254</v>
      </c>
      <c r="C42" s="120" t="s">
        <v>60</v>
      </c>
      <c r="D42" s="120" t="s">
        <v>60</v>
      </c>
      <c r="E42" s="109" t="s">
        <v>60</v>
      </c>
      <c r="F42" s="112">
        <v>502288.69</v>
      </c>
      <c r="G42" s="120" t="s">
        <v>251</v>
      </c>
      <c r="H42" s="120" t="s">
        <v>252</v>
      </c>
      <c r="I42" s="120" t="s">
        <v>256</v>
      </c>
      <c r="J42" s="79">
        <v>44495</v>
      </c>
      <c r="K42" s="120" t="s">
        <v>353</v>
      </c>
      <c r="L42" s="114">
        <v>501252.74</v>
      </c>
      <c r="M42" s="120" t="s">
        <v>45</v>
      </c>
      <c r="N42" s="120" t="s">
        <v>157</v>
      </c>
      <c r="O42" s="109">
        <v>0</v>
      </c>
      <c r="P42" s="73">
        <v>0</v>
      </c>
      <c r="Q42" s="124" t="s">
        <v>230</v>
      </c>
      <c r="R42" s="109">
        <f>47081.28+45097.35+157427.07+47433.44+0</f>
        <v>297039.14</v>
      </c>
      <c r="S42" s="109">
        <v>47433.44</v>
      </c>
      <c r="T42" s="109">
        <f t="shared" si="0"/>
        <v>297039.14</v>
      </c>
      <c r="U42" s="109">
        <f t="shared" si="3"/>
        <v>297039.14</v>
      </c>
      <c r="V42" s="116" t="s">
        <v>47</v>
      </c>
    </row>
    <row r="43" spans="1:22" ht="120" customHeight="1">
      <c r="A43" s="120" t="s">
        <v>258</v>
      </c>
      <c r="B43" s="122" t="s">
        <v>257</v>
      </c>
      <c r="C43" s="120" t="s">
        <v>60</v>
      </c>
      <c r="D43" s="120" t="s">
        <v>60</v>
      </c>
      <c r="E43" s="109" t="s">
        <v>60</v>
      </c>
      <c r="F43" s="112">
        <v>594475.67</v>
      </c>
      <c r="G43" s="120" t="s">
        <v>251</v>
      </c>
      <c r="H43" s="120" t="s">
        <v>252</v>
      </c>
      <c r="I43" s="120" t="s">
        <v>403</v>
      </c>
      <c r="J43" s="79">
        <v>44495</v>
      </c>
      <c r="K43" s="120" t="s">
        <v>297</v>
      </c>
      <c r="L43" s="114">
        <v>522215.01</v>
      </c>
      <c r="M43" s="120" t="s">
        <v>45</v>
      </c>
      <c r="N43" s="120" t="s">
        <v>157</v>
      </c>
      <c r="O43" s="109">
        <v>0</v>
      </c>
      <c r="P43" s="73">
        <v>0</v>
      </c>
      <c r="Q43" s="124" t="s">
        <v>230</v>
      </c>
      <c r="R43" s="109">
        <f>105441.96+121912.02+85403.98+175322.51+0</f>
        <v>488080.47000000003</v>
      </c>
      <c r="S43" s="109">
        <v>175322.51</v>
      </c>
      <c r="T43" s="109">
        <f t="shared" si="0"/>
        <v>488080.47</v>
      </c>
      <c r="U43" s="109">
        <f t="shared" si="3"/>
        <v>488080.47</v>
      </c>
      <c r="V43" s="116" t="s">
        <v>47</v>
      </c>
    </row>
    <row r="44" spans="1:22" ht="120" customHeight="1">
      <c r="A44" s="120" t="s">
        <v>261</v>
      </c>
      <c r="B44" s="122" t="s">
        <v>260</v>
      </c>
      <c r="C44" s="120" t="s">
        <v>60</v>
      </c>
      <c r="D44" s="120" t="s">
        <v>60</v>
      </c>
      <c r="E44" s="109" t="s">
        <v>60</v>
      </c>
      <c r="F44" s="112">
        <v>415898.33</v>
      </c>
      <c r="G44" s="120" t="s">
        <v>262</v>
      </c>
      <c r="H44" s="120" t="s">
        <v>263</v>
      </c>
      <c r="I44" s="120" t="s">
        <v>404</v>
      </c>
      <c r="J44" s="79">
        <v>44504</v>
      </c>
      <c r="K44" s="120" t="s">
        <v>157</v>
      </c>
      <c r="L44" s="114">
        <v>319460.48</v>
      </c>
      <c r="M44" s="120" t="s">
        <v>45</v>
      </c>
      <c r="N44" s="120" t="s">
        <v>387</v>
      </c>
      <c r="O44" s="109">
        <v>0</v>
      </c>
      <c r="P44" s="73">
        <v>0</v>
      </c>
      <c r="Q44" s="124" t="s">
        <v>230</v>
      </c>
      <c r="R44" s="109">
        <f>29555.24+0</f>
        <v>29555.24</v>
      </c>
      <c r="S44" s="109">
        <f t="shared" si="1"/>
        <v>0</v>
      </c>
      <c r="T44" s="109">
        <f t="shared" si="0"/>
        <v>29555.24</v>
      </c>
      <c r="U44" s="109">
        <f t="shared" si="3"/>
        <v>29555.24</v>
      </c>
      <c r="V44" s="116" t="s">
        <v>47</v>
      </c>
    </row>
    <row r="45" spans="1:22" ht="120" customHeight="1">
      <c r="A45" s="120" t="s">
        <v>309</v>
      </c>
      <c r="B45" s="122" t="s">
        <v>265</v>
      </c>
      <c r="C45" s="120" t="s">
        <v>60</v>
      </c>
      <c r="D45" s="120" t="s">
        <v>60</v>
      </c>
      <c r="E45" s="109" t="s">
        <v>60</v>
      </c>
      <c r="F45" s="112">
        <v>1045219.51</v>
      </c>
      <c r="G45" s="120" t="s">
        <v>272</v>
      </c>
      <c r="H45" s="120" t="s">
        <v>252</v>
      </c>
      <c r="I45" s="120" t="s">
        <v>266</v>
      </c>
      <c r="J45" s="79">
        <v>44552</v>
      </c>
      <c r="K45" s="120" t="s">
        <v>267</v>
      </c>
      <c r="L45" s="114">
        <v>1044946.8</v>
      </c>
      <c r="M45" s="120" t="s">
        <v>45</v>
      </c>
      <c r="N45" s="120" t="s">
        <v>45</v>
      </c>
      <c r="O45" s="109">
        <v>0</v>
      </c>
      <c r="P45" s="73">
        <v>0</v>
      </c>
      <c r="Q45" s="124" t="s">
        <v>230</v>
      </c>
      <c r="R45" s="109">
        <f>212431.44+0</f>
        <v>212431.44</v>
      </c>
      <c r="S45" s="109">
        <v>212431.44</v>
      </c>
      <c r="T45" s="109">
        <f t="shared" si="0"/>
        <v>212431.44</v>
      </c>
      <c r="U45" s="109">
        <f t="shared" si="3"/>
        <v>212431.44</v>
      </c>
      <c r="V45" s="116" t="s">
        <v>405</v>
      </c>
    </row>
    <row r="46" spans="1:22" ht="120" customHeight="1">
      <c r="A46" s="120" t="s">
        <v>308</v>
      </c>
      <c r="B46" s="122" t="s">
        <v>310</v>
      </c>
      <c r="C46" s="120" t="s">
        <v>60</v>
      </c>
      <c r="D46" s="120" t="s">
        <v>60</v>
      </c>
      <c r="E46" s="109" t="s">
        <v>60</v>
      </c>
      <c r="F46" s="112">
        <v>362619.2</v>
      </c>
      <c r="G46" s="120" t="s">
        <v>311</v>
      </c>
      <c r="H46" s="120" t="s">
        <v>263</v>
      </c>
      <c r="I46" s="120" t="s">
        <v>312</v>
      </c>
      <c r="J46" s="79">
        <v>44532</v>
      </c>
      <c r="K46" s="120" t="s">
        <v>157</v>
      </c>
      <c r="L46" s="125">
        <v>301011.62</v>
      </c>
      <c r="M46" s="120" t="s">
        <v>45</v>
      </c>
      <c r="N46" s="120" t="s">
        <v>45</v>
      </c>
      <c r="O46" s="109">
        <v>0</v>
      </c>
      <c r="P46" s="73">
        <v>0</v>
      </c>
      <c r="Q46" s="124" t="s">
        <v>230</v>
      </c>
      <c r="R46" s="109">
        <f>45219.46+0</f>
        <v>45219.46</v>
      </c>
      <c r="S46" s="109">
        <v>45219.46</v>
      </c>
      <c r="T46" s="109">
        <f t="shared" si="0"/>
        <v>45219.46</v>
      </c>
      <c r="U46" s="109">
        <f t="shared" si="3"/>
        <v>45219.46</v>
      </c>
      <c r="V46" s="116" t="s">
        <v>47</v>
      </c>
    </row>
    <row r="47" spans="1:22" ht="120" customHeight="1">
      <c r="A47" s="120" t="s">
        <v>303</v>
      </c>
      <c r="B47" s="122" t="s">
        <v>352</v>
      </c>
      <c r="C47" s="120" t="s">
        <v>60</v>
      </c>
      <c r="D47" s="120" t="s">
        <v>60</v>
      </c>
      <c r="E47" s="109" t="s">
        <v>60</v>
      </c>
      <c r="F47" s="112">
        <v>639279.1</v>
      </c>
      <c r="G47" s="120" t="s">
        <v>192</v>
      </c>
      <c r="H47" s="120" t="s">
        <v>304</v>
      </c>
      <c r="I47" s="120" t="s">
        <v>305</v>
      </c>
      <c r="J47" s="79">
        <v>44532</v>
      </c>
      <c r="K47" s="120" t="s">
        <v>267</v>
      </c>
      <c r="L47" s="112">
        <v>639279.1</v>
      </c>
      <c r="M47" s="120" t="s">
        <v>45</v>
      </c>
      <c r="N47" s="120" t="s">
        <v>45</v>
      </c>
      <c r="O47" s="109">
        <v>0</v>
      </c>
      <c r="P47" s="73">
        <v>0</v>
      </c>
      <c r="Q47" s="124" t="s">
        <v>230</v>
      </c>
      <c r="R47" s="109">
        <f>66759.42+63308.45+0</f>
        <v>130067.87</v>
      </c>
      <c r="S47" s="109">
        <f t="shared" si="1"/>
        <v>0</v>
      </c>
      <c r="T47" s="109">
        <f t="shared" si="0"/>
        <v>130067.87</v>
      </c>
      <c r="U47" s="109">
        <f t="shared" si="3"/>
        <v>130067.87</v>
      </c>
      <c r="V47" s="116" t="s">
        <v>47</v>
      </c>
    </row>
    <row r="48" spans="1:22" ht="120" customHeight="1">
      <c r="A48" s="120" t="s">
        <v>314</v>
      </c>
      <c r="B48" s="122" t="s">
        <v>313</v>
      </c>
      <c r="C48" s="120" t="s">
        <v>60</v>
      </c>
      <c r="D48" s="120" t="s">
        <v>60</v>
      </c>
      <c r="E48" s="109" t="s">
        <v>60</v>
      </c>
      <c r="F48" s="112">
        <v>1530436.21</v>
      </c>
      <c r="G48" s="120" t="s">
        <v>315</v>
      </c>
      <c r="H48" s="120" t="s">
        <v>316</v>
      </c>
      <c r="I48" s="120" t="s">
        <v>317</v>
      </c>
      <c r="J48" s="79">
        <v>44601</v>
      </c>
      <c r="K48" s="120" t="s">
        <v>299</v>
      </c>
      <c r="L48" s="112">
        <v>1400203.12</v>
      </c>
      <c r="M48" s="120" t="s">
        <v>45</v>
      </c>
      <c r="N48" s="120" t="s">
        <v>45</v>
      </c>
      <c r="O48" s="109">
        <v>0</v>
      </c>
      <c r="P48" s="73">
        <v>0</v>
      </c>
      <c r="Q48" s="124" t="s">
        <v>230</v>
      </c>
      <c r="R48" s="109">
        <f>0+0</f>
        <v>0</v>
      </c>
      <c r="S48" s="109">
        <f t="shared" si="1"/>
        <v>0</v>
      </c>
      <c r="T48" s="109">
        <f t="shared" si="0"/>
        <v>0</v>
      </c>
      <c r="U48" s="109">
        <f t="shared" si="3"/>
        <v>0</v>
      </c>
      <c r="V48" s="116" t="s">
        <v>372</v>
      </c>
    </row>
    <row r="49" spans="1:22" ht="120" customHeight="1">
      <c r="A49" s="120" t="s">
        <v>318</v>
      </c>
      <c r="B49" s="122" t="s">
        <v>319</v>
      </c>
      <c r="C49" s="120" t="s">
        <v>60</v>
      </c>
      <c r="D49" s="120" t="s">
        <v>60</v>
      </c>
      <c r="E49" s="109" t="s">
        <v>60</v>
      </c>
      <c r="F49" s="112">
        <v>384866.7</v>
      </c>
      <c r="G49" s="120" t="s">
        <v>272</v>
      </c>
      <c r="H49" s="120" t="s">
        <v>252</v>
      </c>
      <c r="I49" s="120" t="s">
        <v>320</v>
      </c>
      <c r="J49" s="79">
        <v>44607</v>
      </c>
      <c r="K49" s="120" t="s">
        <v>297</v>
      </c>
      <c r="L49" s="112">
        <v>382671.77</v>
      </c>
      <c r="M49" s="120" t="s">
        <v>45</v>
      </c>
      <c r="N49" s="120" t="s">
        <v>45</v>
      </c>
      <c r="O49" s="109">
        <v>0</v>
      </c>
      <c r="P49" s="73">
        <v>0</v>
      </c>
      <c r="Q49" s="124" t="s">
        <v>230</v>
      </c>
      <c r="R49" s="109">
        <f>0+0</f>
        <v>0</v>
      </c>
      <c r="S49" s="109">
        <f t="shared" si="1"/>
        <v>0</v>
      </c>
      <c r="T49" s="109">
        <f t="shared" si="0"/>
        <v>0</v>
      </c>
      <c r="U49" s="109">
        <f t="shared" si="3"/>
        <v>0</v>
      </c>
      <c r="V49" s="116" t="s">
        <v>405</v>
      </c>
    </row>
    <row r="50" spans="1:22" ht="120" customHeight="1">
      <c r="A50" s="120" t="s">
        <v>322</v>
      </c>
      <c r="B50" s="122" t="s">
        <v>321</v>
      </c>
      <c r="C50" s="120" t="s">
        <v>60</v>
      </c>
      <c r="D50" s="120" t="s">
        <v>60</v>
      </c>
      <c r="E50" s="109" t="s">
        <v>60</v>
      </c>
      <c r="F50" s="112">
        <v>347191.64</v>
      </c>
      <c r="G50" s="120" t="s">
        <v>251</v>
      </c>
      <c r="H50" s="120" t="s">
        <v>252</v>
      </c>
      <c r="I50" s="120" t="s">
        <v>323</v>
      </c>
      <c r="J50" s="79">
        <v>44607</v>
      </c>
      <c r="K50" s="120" t="s">
        <v>297</v>
      </c>
      <c r="L50" s="112">
        <v>343747.86</v>
      </c>
      <c r="M50" s="120" t="s">
        <v>45</v>
      </c>
      <c r="N50" s="120" t="s">
        <v>45</v>
      </c>
      <c r="O50" s="109">
        <v>0</v>
      </c>
      <c r="P50" s="73">
        <v>0</v>
      </c>
      <c r="Q50" s="124" t="s">
        <v>230</v>
      </c>
      <c r="R50" s="109">
        <f>105198.77+0</f>
        <v>105198.77</v>
      </c>
      <c r="S50" s="109">
        <v>105198.77</v>
      </c>
      <c r="T50" s="109">
        <f t="shared" si="0"/>
        <v>105198.77</v>
      </c>
      <c r="U50" s="109">
        <f t="shared" si="3"/>
        <v>105198.77</v>
      </c>
      <c r="V50" s="116" t="s">
        <v>47</v>
      </c>
    </row>
    <row r="51" spans="1:22" ht="120" customHeight="1">
      <c r="A51" s="120" t="s">
        <v>324</v>
      </c>
      <c r="B51" s="122" t="s">
        <v>325</v>
      </c>
      <c r="C51" s="120" t="s">
        <v>60</v>
      </c>
      <c r="D51" s="120" t="s">
        <v>60</v>
      </c>
      <c r="E51" s="109" t="s">
        <v>60</v>
      </c>
      <c r="F51" s="112">
        <v>95907.67</v>
      </c>
      <c r="G51" s="120" t="s">
        <v>272</v>
      </c>
      <c r="H51" s="120" t="s">
        <v>252</v>
      </c>
      <c r="I51" s="120" t="s">
        <v>326</v>
      </c>
      <c r="J51" s="79">
        <v>44607</v>
      </c>
      <c r="K51" s="120" t="s">
        <v>297</v>
      </c>
      <c r="L51" s="112">
        <v>95891.53</v>
      </c>
      <c r="M51" s="120" t="s">
        <v>45</v>
      </c>
      <c r="N51" s="120" t="s">
        <v>45</v>
      </c>
      <c r="O51" s="109">
        <v>0</v>
      </c>
      <c r="P51" s="73">
        <v>0</v>
      </c>
      <c r="Q51" s="124" t="s">
        <v>230</v>
      </c>
      <c r="R51" s="109">
        <f>15704.38+80187.2+0</f>
        <v>95891.58</v>
      </c>
      <c r="S51" s="109">
        <v>80187.2</v>
      </c>
      <c r="T51" s="109">
        <f t="shared" si="0"/>
        <v>95891.58</v>
      </c>
      <c r="U51" s="109">
        <f t="shared" si="3"/>
        <v>95891.58</v>
      </c>
      <c r="V51" s="116" t="s">
        <v>62</v>
      </c>
    </row>
    <row r="52" spans="1:22" ht="159.75" customHeight="1">
      <c r="A52" s="120" t="s">
        <v>327</v>
      </c>
      <c r="B52" s="122" t="s">
        <v>328</v>
      </c>
      <c r="C52" s="120" t="s">
        <v>60</v>
      </c>
      <c r="D52" s="120" t="s">
        <v>60</v>
      </c>
      <c r="E52" s="109" t="s">
        <v>60</v>
      </c>
      <c r="F52" s="112">
        <v>410706.05</v>
      </c>
      <c r="G52" s="120" t="s">
        <v>272</v>
      </c>
      <c r="H52" s="120" t="s">
        <v>252</v>
      </c>
      <c r="I52" s="120" t="s">
        <v>329</v>
      </c>
      <c r="J52" s="79">
        <v>44607</v>
      </c>
      <c r="K52" s="120" t="s">
        <v>157</v>
      </c>
      <c r="L52" s="112">
        <v>406597.28</v>
      </c>
      <c r="M52" s="120" t="s">
        <v>45</v>
      </c>
      <c r="N52" s="120" t="s">
        <v>43</v>
      </c>
      <c r="O52" s="109">
        <v>0</v>
      </c>
      <c r="P52" s="73">
        <v>0</v>
      </c>
      <c r="Q52" s="124" t="s">
        <v>230</v>
      </c>
      <c r="R52" s="109">
        <f>100062.22+0</f>
        <v>100062.22</v>
      </c>
      <c r="S52" s="109">
        <v>100062.22</v>
      </c>
      <c r="T52" s="109">
        <f t="shared" si="0"/>
        <v>100062.22</v>
      </c>
      <c r="U52" s="109">
        <f t="shared" si="3"/>
        <v>100062.22</v>
      </c>
      <c r="V52" s="116" t="s">
        <v>47</v>
      </c>
    </row>
    <row r="53" spans="1:22" ht="132.75" customHeight="1">
      <c r="A53" s="120" t="s">
        <v>330</v>
      </c>
      <c r="B53" s="122" t="s">
        <v>331</v>
      </c>
      <c r="C53" s="120" t="s">
        <v>60</v>
      </c>
      <c r="D53" s="120" t="s">
        <v>60</v>
      </c>
      <c r="E53" s="109" t="s">
        <v>60</v>
      </c>
      <c r="F53" s="112">
        <v>1148246.58</v>
      </c>
      <c r="G53" s="120" t="s">
        <v>332</v>
      </c>
      <c r="H53" s="120" t="s">
        <v>333</v>
      </c>
      <c r="I53" s="120" t="s">
        <v>334</v>
      </c>
      <c r="J53" s="79">
        <v>44613</v>
      </c>
      <c r="K53" s="120" t="s">
        <v>297</v>
      </c>
      <c r="L53" s="112">
        <v>1021763.32</v>
      </c>
      <c r="M53" s="120" t="s">
        <v>45</v>
      </c>
      <c r="N53" s="120" t="s">
        <v>45</v>
      </c>
      <c r="O53" s="109">
        <v>0</v>
      </c>
      <c r="P53" s="73">
        <v>0</v>
      </c>
      <c r="Q53" s="124" t="s">
        <v>230</v>
      </c>
      <c r="R53" s="109">
        <f>224891.56+153848.53+0</f>
        <v>378740.08999999997</v>
      </c>
      <c r="S53" s="109">
        <v>153848.53</v>
      </c>
      <c r="T53" s="109">
        <f t="shared" si="0"/>
        <v>378740.08999999997</v>
      </c>
      <c r="U53" s="109">
        <f t="shared" si="3"/>
        <v>378740.08999999997</v>
      </c>
      <c r="V53" s="116" t="s">
        <v>47</v>
      </c>
    </row>
    <row r="54" spans="1:22" ht="120" customHeight="1">
      <c r="A54" s="120" t="s">
        <v>335</v>
      </c>
      <c r="B54" s="122" t="s">
        <v>336</v>
      </c>
      <c r="C54" s="120" t="s">
        <v>60</v>
      </c>
      <c r="D54" s="120" t="s">
        <v>60</v>
      </c>
      <c r="E54" s="109" t="s">
        <v>60</v>
      </c>
      <c r="F54" s="112">
        <v>598260.62</v>
      </c>
      <c r="G54" s="120" t="s">
        <v>272</v>
      </c>
      <c r="H54" s="120" t="s">
        <v>252</v>
      </c>
      <c r="I54" s="120" t="s">
        <v>337</v>
      </c>
      <c r="J54" s="79">
        <v>44620</v>
      </c>
      <c r="K54" s="120" t="s">
        <v>157</v>
      </c>
      <c r="L54" s="112">
        <v>525028.3</v>
      </c>
      <c r="M54" s="120" t="s">
        <v>45</v>
      </c>
      <c r="N54" s="120" t="s">
        <v>43</v>
      </c>
      <c r="O54" s="109">
        <v>0</v>
      </c>
      <c r="P54" s="73">
        <v>0</v>
      </c>
      <c r="Q54" s="124" t="s">
        <v>230</v>
      </c>
      <c r="R54" s="109">
        <f>100093.59+67848.67+0</f>
        <v>167942.26</v>
      </c>
      <c r="S54" s="109">
        <v>67848.67</v>
      </c>
      <c r="T54" s="109">
        <f t="shared" si="0"/>
        <v>167942.26</v>
      </c>
      <c r="U54" s="109">
        <f t="shared" si="3"/>
        <v>167942.26</v>
      </c>
      <c r="V54" s="116" t="s">
        <v>47</v>
      </c>
    </row>
    <row r="55" spans="1:22" ht="120" customHeight="1">
      <c r="A55" s="120" t="s">
        <v>346</v>
      </c>
      <c r="B55" s="122" t="s">
        <v>347</v>
      </c>
      <c r="C55" s="120" t="s">
        <v>60</v>
      </c>
      <c r="D55" s="120" t="s">
        <v>60</v>
      </c>
      <c r="E55" s="109" t="s">
        <v>60</v>
      </c>
      <c r="F55" s="112">
        <v>450550.68</v>
      </c>
      <c r="G55" s="120" t="s">
        <v>348</v>
      </c>
      <c r="H55" s="120" t="s">
        <v>349</v>
      </c>
      <c r="I55" s="120" t="s">
        <v>350</v>
      </c>
      <c r="J55" s="79">
        <v>44624</v>
      </c>
      <c r="K55" s="120" t="s">
        <v>353</v>
      </c>
      <c r="L55" s="112">
        <v>419017.65</v>
      </c>
      <c r="M55" s="120" t="s">
        <v>45</v>
      </c>
      <c r="N55" s="120" t="s">
        <v>45</v>
      </c>
      <c r="O55" s="109">
        <v>0</v>
      </c>
      <c r="P55" s="73">
        <v>0</v>
      </c>
      <c r="Q55" s="124" t="s">
        <v>230</v>
      </c>
      <c r="R55" s="109">
        <f>0+0</f>
        <v>0</v>
      </c>
      <c r="S55" s="109">
        <f t="shared" si="1"/>
        <v>0</v>
      </c>
      <c r="T55" s="109">
        <f t="shared" si="0"/>
        <v>0</v>
      </c>
      <c r="U55" s="109">
        <f t="shared" si="3"/>
        <v>0</v>
      </c>
      <c r="V55" s="116" t="s">
        <v>374</v>
      </c>
    </row>
    <row r="56" spans="1:22" ht="120" customHeight="1">
      <c r="A56" s="120" t="s">
        <v>338</v>
      </c>
      <c r="B56" s="122" t="s">
        <v>339</v>
      </c>
      <c r="C56" s="120" t="s">
        <v>60</v>
      </c>
      <c r="D56" s="120" t="s">
        <v>60</v>
      </c>
      <c r="E56" s="109" t="s">
        <v>60</v>
      </c>
      <c r="F56" s="112">
        <v>541168.18</v>
      </c>
      <c r="G56" s="120" t="s">
        <v>272</v>
      </c>
      <c r="H56" s="120" t="s">
        <v>252</v>
      </c>
      <c r="I56" s="120" t="s">
        <v>340</v>
      </c>
      <c r="J56" s="79">
        <v>44624</v>
      </c>
      <c r="K56" s="120" t="s">
        <v>157</v>
      </c>
      <c r="L56" s="112">
        <v>435036.98</v>
      </c>
      <c r="M56" s="120" t="s">
        <v>45</v>
      </c>
      <c r="N56" s="120" t="s">
        <v>43</v>
      </c>
      <c r="O56" s="109">
        <v>0</v>
      </c>
      <c r="P56" s="73">
        <v>0</v>
      </c>
      <c r="Q56" s="124" t="s">
        <v>230</v>
      </c>
      <c r="R56" s="109">
        <f>67186.8+59186.07+186497.51+0</f>
        <v>312870.38</v>
      </c>
      <c r="S56" s="109">
        <f>59186.07+186497.51</f>
        <v>245683.58000000002</v>
      </c>
      <c r="T56" s="109">
        <f t="shared" si="0"/>
        <v>312870.37999999995</v>
      </c>
      <c r="U56" s="109">
        <f t="shared" si="3"/>
        <v>312870.37999999995</v>
      </c>
      <c r="V56" s="116" t="s">
        <v>47</v>
      </c>
    </row>
    <row r="57" spans="1:22" ht="120" customHeight="1">
      <c r="A57" s="120" t="s">
        <v>341</v>
      </c>
      <c r="B57" s="122" t="s">
        <v>342</v>
      </c>
      <c r="C57" s="120" t="s">
        <v>60</v>
      </c>
      <c r="D57" s="120" t="s">
        <v>60</v>
      </c>
      <c r="E57" s="109" t="s">
        <v>60</v>
      </c>
      <c r="F57" s="112">
        <v>388727.63</v>
      </c>
      <c r="G57" s="120" t="s">
        <v>272</v>
      </c>
      <c r="H57" s="120" t="s">
        <v>252</v>
      </c>
      <c r="I57" s="120" t="s">
        <v>343</v>
      </c>
      <c r="J57" s="79">
        <v>44628</v>
      </c>
      <c r="K57" s="120" t="s">
        <v>157</v>
      </c>
      <c r="L57" s="112">
        <v>386740.27</v>
      </c>
      <c r="M57" s="120" t="s">
        <v>45</v>
      </c>
      <c r="N57" s="120" t="s">
        <v>43</v>
      </c>
      <c r="O57" s="109">
        <v>0</v>
      </c>
      <c r="P57" s="73">
        <v>0</v>
      </c>
      <c r="Q57" s="124" t="s">
        <v>230</v>
      </c>
      <c r="R57" s="109">
        <f>62114.84+0</f>
        <v>62114.84</v>
      </c>
      <c r="S57" s="109">
        <v>62114.84</v>
      </c>
      <c r="T57" s="109">
        <f t="shared" si="0"/>
        <v>62114.84</v>
      </c>
      <c r="U57" s="109">
        <f t="shared" si="3"/>
        <v>62114.84</v>
      </c>
      <c r="V57" s="116" t="s">
        <v>47</v>
      </c>
    </row>
    <row r="58" spans="1:22" ht="159.75" customHeight="1">
      <c r="A58" s="120" t="s">
        <v>345</v>
      </c>
      <c r="B58" s="122" t="s">
        <v>344</v>
      </c>
      <c r="C58" s="120" t="s">
        <v>60</v>
      </c>
      <c r="D58" s="120" t="s">
        <v>60</v>
      </c>
      <c r="E58" s="109" t="s">
        <v>60</v>
      </c>
      <c r="F58" s="112">
        <v>241468.99</v>
      </c>
      <c r="G58" s="120" t="s">
        <v>272</v>
      </c>
      <c r="H58" s="120" t="s">
        <v>252</v>
      </c>
      <c r="I58" s="126" t="s">
        <v>351</v>
      </c>
      <c r="J58" s="79">
        <v>44628</v>
      </c>
      <c r="K58" s="120" t="s">
        <v>354</v>
      </c>
      <c r="L58" s="112">
        <v>230615.62</v>
      </c>
      <c r="M58" s="120" t="s">
        <v>45</v>
      </c>
      <c r="N58" s="120" t="s">
        <v>42</v>
      </c>
      <c r="O58" s="109">
        <v>0</v>
      </c>
      <c r="P58" s="73">
        <v>0</v>
      </c>
      <c r="Q58" s="124" t="s">
        <v>230</v>
      </c>
      <c r="R58" s="109">
        <f>70198.06+97705.52+0</f>
        <v>167903.58000000002</v>
      </c>
      <c r="S58" s="109">
        <v>97705.52</v>
      </c>
      <c r="T58" s="109">
        <f t="shared" si="0"/>
        <v>167903.58000000002</v>
      </c>
      <c r="U58" s="109">
        <f t="shared" si="3"/>
        <v>167903.58000000002</v>
      </c>
      <c r="V58" s="116" t="s">
        <v>47</v>
      </c>
    </row>
    <row r="59" spans="1:22" ht="131.25" customHeight="1">
      <c r="A59" s="120" t="s">
        <v>359</v>
      </c>
      <c r="B59" s="122" t="s">
        <v>355</v>
      </c>
      <c r="C59" s="120" t="s">
        <v>60</v>
      </c>
      <c r="D59" s="120" t="s">
        <v>60</v>
      </c>
      <c r="E59" s="109" t="s">
        <v>60</v>
      </c>
      <c r="F59" s="112">
        <v>4767726.9</v>
      </c>
      <c r="G59" s="120" t="s">
        <v>356</v>
      </c>
      <c r="H59" s="120" t="s">
        <v>357</v>
      </c>
      <c r="I59" s="126" t="s">
        <v>358</v>
      </c>
      <c r="J59" s="79">
        <v>44644</v>
      </c>
      <c r="K59" s="120" t="s">
        <v>299</v>
      </c>
      <c r="L59" s="112">
        <v>3857267.94</v>
      </c>
      <c r="M59" s="120" t="s">
        <v>45</v>
      </c>
      <c r="N59" s="120" t="s">
        <v>45</v>
      </c>
      <c r="O59" s="109">
        <v>0</v>
      </c>
      <c r="P59" s="73">
        <v>0</v>
      </c>
      <c r="Q59" s="124" t="s">
        <v>230</v>
      </c>
      <c r="R59" s="109">
        <f>56829.82+141269.78+79363.93+0</f>
        <v>277463.53</v>
      </c>
      <c r="S59" s="109">
        <v>79363.93</v>
      </c>
      <c r="T59" s="109">
        <f t="shared" si="0"/>
        <v>277463.53</v>
      </c>
      <c r="U59" s="109">
        <f t="shared" si="3"/>
        <v>277463.53</v>
      </c>
      <c r="V59" s="116" t="s">
        <v>47</v>
      </c>
    </row>
    <row r="60" spans="1:22" ht="120" customHeight="1">
      <c r="A60" s="120" t="s">
        <v>360</v>
      </c>
      <c r="B60" s="122" t="s">
        <v>361</v>
      </c>
      <c r="C60" s="120" t="s">
        <v>60</v>
      </c>
      <c r="D60" s="120" t="s">
        <v>60</v>
      </c>
      <c r="E60" s="109" t="s">
        <v>60</v>
      </c>
      <c r="F60" s="112">
        <v>316297.71</v>
      </c>
      <c r="G60" s="120" t="s">
        <v>362</v>
      </c>
      <c r="H60" s="120" t="s">
        <v>349</v>
      </c>
      <c r="I60" s="126" t="s">
        <v>363</v>
      </c>
      <c r="J60" s="79">
        <v>44648</v>
      </c>
      <c r="K60" s="120" t="s">
        <v>157</v>
      </c>
      <c r="L60" s="112">
        <v>306310.46</v>
      </c>
      <c r="M60" s="120" t="s">
        <v>45</v>
      </c>
      <c r="N60" s="120" t="s">
        <v>45</v>
      </c>
      <c r="O60" s="109">
        <v>0</v>
      </c>
      <c r="P60" s="73">
        <v>0</v>
      </c>
      <c r="Q60" s="124" t="s">
        <v>230</v>
      </c>
      <c r="R60" s="109">
        <f>42829.77+128318.88+0</f>
        <v>171148.65</v>
      </c>
      <c r="S60" s="109">
        <v>128318.88</v>
      </c>
      <c r="T60" s="109">
        <f t="shared" si="0"/>
        <v>171148.65000000002</v>
      </c>
      <c r="U60" s="109">
        <f t="shared" si="3"/>
        <v>171148.65000000002</v>
      </c>
      <c r="V60" s="116" t="s">
        <v>47</v>
      </c>
    </row>
    <row r="61" spans="1:22" ht="120" customHeight="1">
      <c r="A61" s="120" t="s">
        <v>365</v>
      </c>
      <c r="B61" s="122" t="s">
        <v>364</v>
      </c>
      <c r="C61" s="120" t="s">
        <v>60</v>
      </c>
      <c r="D61" s="120" t="s">
        <v>60</v>
      </c>
      <c r="E61" s="109" t="s">
        <v>60</v>
      </c>
      <c r="F61" s="112">
        <v>388727.63</v>
      </c>
      <c r="G61" s="120" t="s">
        <v>272</v>
      </c>
      <c r="H61" s="120" t="s">
        <v>252</v>
      </c>
      <c r="I61" s="126" t="s">
        <v>407</v>
      </c>
      <c r="J61" s="79">
        <v>44648</v>
      </c>
      <c r="K61" s="120" t="s">
        <v>157</v>
      </c>
      <c r="L61" s="112">
        <v>386740.27</v>
      </c>
      <c r="M61" s="120" t="s">
        <v>45</v>
      </c>
      <c r="N61" s="120" t="s">
        <v>45</v>
      </c>
      <c r="O61" s="109">
        <v>0</v>
      </c>
      <c r="P61" s="73">
        <v>0</v>
      </c>
      <c r="Q61" s="124" t="s">
        <v>230</v>
      </c>
      <c r="R61" s="109">
        <f>60917.61+35747.7+0</f>
        <v>96665.31</v>
      </c>
      <c r="S61" s="109">
        <f>60917.61+35747.7</f>
        <v>96665.31</v>
      </c>
      <c r="T61" s="109">
        <f t="shared" si="0"/>
        <v>96665.31</v>
      </c>
      <c r="U61" s="109">
        <f t="shared" si="3"/>
        <v>96665.31</v>
      </c>
      <c r="V61" s="116" t="s">
        <v>47</v>
      </c>
    </row>
    <row r="62" spans="1:22" ht="120" customHeight="1">
      <c r="A62" s="120" t="s">
        <v>408</v>
      </c>
      <c r="B62" s="122" t="s">
        <v>409</v>
      </c>
      <c r="C62" s="120" t="s">
        <v>60</v>
      </c>
      <c r="D62" s="120" t="s">
        <v>60</v>
      </c>
      <c r="E62" s="109" t="s">
        <v>60</v>
      </c>
      <c r="F62" s="112">
        <v>283614.82</v>
      </c>
      <c r="G62" s="120" t="s">
        <v>410</v>
      </c>
      <c r="H62" s="120" t="s">
        <v>411</v>
      </c>
      <c r="I62" s="126" t="s">
        <v>412</v>
      </c>
      <c r="J62" s="79">
        <v>44705</v>
      </c>
      <c r="K62" s="120" t="s">
        <v>157</v>
      </c>
      <c r="L62" s="112">
        <v>276923.9</v>
      </c>
      <c r="M62" s="120" t="s">
        <v>45</v>
      </c>
      <c r="N62" s="120" t="s">
        <v>45</v>
      </c>
      <c r="O62" s="109">
        <v>0</v>
      </c>
      <c r="P62" s="73">
        <v>0</v>
      </c>
      <c r="Q62" s="124" t="s">
        <v>230</v>
      </c>
      <c r="R62" s="109">
        <f>0+0</f>
        <v>0</v>
      </c>
      <c r="S62" s="109">
        <f t="shared" si="1"/>
        <v>0</v>
      </c>
      <c r="T62" s="109">
        <f t="shared" si="0"/>
        <v>0</v>
      </c>
      <c r="U62" s="109">
        <f>0+T62</f>
        <v>0</v>
      </c>
      <c r="V62" s="116" t="s">
        <v>47</v>
      </c>
    </row>
    <row r="63" spans="1:22" s="13" customFormat="1" ht="90" customHeight="1">
      <c r="A63" s="120" t="s">
        <v>413</v>
      </c>
      <c r="B63" s="122" t="s">
        <v>414</v>
      </c>
      <c r="C63" s="120" t="s">
        <v>60</v>
      </c>
      <c r="D63" s="120" t="s">
        <v>60</v>
      </c>
      <c r="E63" s="109" t="s">
        <v>60</v>
      </c>
      <c r="F63" s="112">
        <v>523719.07</v>
      </c>
      <c r="G63" s="120" t="s">
        <v>272</v>
      </c>
      <c r="H63" s="120" t="s">
        <v>252</v>
      </c>
      <c r="I63" s="126" t="s">
        <v>415</v>
      </c>
      <c r="J63" s="79">
        <v>44742</v>
      </c>
      <c r="K63" s="120" t="s">
        <v>157</v>
      </c>
      <c r="L63" s="112">
        <v>523508.34</v>
      </c>
      <c r="M63" s="120" t="s">
        <v>45</v>
      </c>
      <c r="N63" s="120" t="s">
        <v>45</v>
      </c>
      <c r="O63" s="109">
        <v>0</v>
      </c>
      <c r="P63" s="73">
        <v>0</v>
      </c>
      <c r="Q63" s="124" t="s">
        <v>230</v>
      </c>
      <c r="R63" s="109">
        <f>0+0</f>
        <v>0</v>
      </c>
      <c r="S63" s="109">
        <f t="shared" si="1"/>
        <v>0</v>
      </c>
      <c r="T63" s="109">
        <f>R63+S63-S63</f>
        <v>0</v>
      </c>
      <c r="U63" s="109">
        <f>0+T63</f>
        <v>0</v>
      </c>
      <c r="V63" s="116" t="s">
        <v>47</v>
      </c>
    </row>
    <row r="64" spans="1:22" s="13" customFormat="1" ht="90" customHeight="1">
      <c r="A64" s="120" t="s">
        <v>431</v>
      </c>
      <c r="B64" s="122" t="s">
        <v>432</v>
      </c>
      <c r="C64" s="120" t="s">
        <v>60</v>
      </c>
      <c r="D64" s="120" t="s">
        <v>60</v>
      </c>
      <c r="E64" s="109" t="s">
        <v>60</v>
      </c>
      <c r="F64" s="112">
        <v>567426.25</v>
      </c>
      <c r="G64" s="120" t="s">
        <v>272</v>
      </c>
      <c r="H64" s="120" t="s">
        <v>252</v>
      </c>
      <c r="I64" s="126" t="s">
        <v>433</v>
      </c>
      <c r="J64" s="79">
        <v>44796</v>
      </c>
      <c r="K64" s="120" t="s">
        <v>353</v>
      </c>
      <c r="L64" s="112">
        <v>567426.25</v>
      </c>
      <c r="M64" s="120" t="s">
        <v>45</v>
      </c>
      <c r="N64" s="120" t="s">
        <v>45</v>
      </c>
      <c r="O64" s="109">
        <v>0</v>
      </c>
      <c r="P64" s="73">
        <v>0</v>
      </c>
      <c r="Q64" s="124" t="s">
        <v>230</v>
      </c>
      <c r="R64" s="109">
        <f>0+0</f>
        <v>0</v>
      </c>
      <c r="S64" s="109">
        <f t="shared" si="1"/>
        <v>0</v>
      </c>
      <c r="T64" s="109">
        <f>R64+S64-S64</f>
        <v>0</v>
      </c>
      <c r="U64" s="109">
        <f>0+T64</f>
        <v>0</v>
      </c>
      <c r="V64" s="116" t="s">
        <v>47</v>
      </c>
    </row>
    <row r="65" spans="1:22" s="13" customFormat="1" ht="90" customHeight="1">
      <c r="A65" s="120" t="s">
        <v>434</v>
      </c>
      <c r="B65" s="122" t="s">
        <v>435</v>
      </c>
      <c r="C65" s="120" t="s">
        <v>60</v>
      </c>
      <c r="D65" s="120" t="s">
        <v>60</v>
      </c>
      <c r="E65" s="109" t="s">
        <v>60</v>
      </c>
      <c r="F65" s="112">
        <v>445929.41</v>
      </c>
      <c r="G65" s="120" t="s">
        <v>272</v>
      </c>
      <c r="H65" s="120" t="s">
        <v>252</v>
      </c>
      <c r="I65" s="126" t="s">
        <v>436</v>
      </c>
      <c r="J65" s="79">
        <v>44832</v>
      </c>
      <c r="K65" s="120" t="s">
        <v>297</v>
      </c>
      <c r="L65" s="112">
        <v>437061.05</v>
      </c>
      <c r="M65" s="120" t="s">
        <v>45</v>
      </c>
      <c r="N65" s="120" t="s">
        <v>45</v>
      </c>
      <c r="O65" s="109">
        <v>0</v>
      </c>
      <c r="P65" s="73">
        <v>0</v>
      </c>
      <c r="Q65" s="124" t="s">
        <v>230</v>
      </c>
      <c r="R65" s="109">
        <f>0+0</f>
        <v>0</v>
      </c>
      <c r="S65" s="109">
        <f t="shared" si="1"/>
        <v>0</v>
      </c>
      <c r="T65" s="109">
        <f>R65+S65-S65</f>
        <v>0</v>
      </c>
      <c r="U65" s="109">
        <f>0+T65</f>
        <v>0</v>
      </c>
      <c r="V65" s="116" t="s">
        <v>47</v>
      </c>
    </row>
    <row r="66" spans="1:22" s="13" customFormat="1" ht="90" customHeight="1">
      <c r="A66" s="120" t="s">
        <v>437</v>
      </c>
      <c r="B66" s="122" t="s">
        <v>438</v>
      </c>
      <c r="C66" s="120" t="s">
        <v>60</v>
      </c>
      <c r="D66" s="120" t="s">
        <v>60</v>
      </c>
      <c r="E66" s="109" t="s">
        <v>60</v>
      </c>
      <c r="F66" s="112">
        <v>645760</v>
      </c>
      <c r="G66" s="120" t="s">
        <v>272</v>
      </c>
      <c r="H66" s="120" t="s">
        <v>252</v>
      </c>
      <c r="I66" s="126" t="s">
        <v>439</v>
      </c>
      <c r="J66" s="79">
        <v>44832</v>
      </c>
      <c r="K66" s="120" t="s">
        <v>353</v>
      </c>
      <c r="L66" s="112">
        <v>631923.33</v>
      </c>
      <c r="M66" s="120" t="s">
        <v>45</v>
      </c>
      <c r="N66" s="120" t="s">
        <v>45</v>
      </c>
      <c r="O66" s="109">
        <v>0</v>
      </c>
      <c r="P66" s="73">
        <v>0</v>
      </c>
      <c r="Q66" s="124" t="s">
        <v>230</v>
      </c>
      <c r="R66" s="109">
        <f>0+0</f>
        <v>0</v>
      </c>
      <c r="S66" s="109">
        <f t="shared" si="1"/>
        <v>0</v>
      </c>
      <c r="T66" s="109">
        <f>R66+S66-S66</f>
        <v>0</v>
      </c>
      <c r="U66" s="109">
        <f>0+T66</f>
        <v>0</v>
      </c>
      <c r="V66" s="116" t="s">
        <v>47</v>
      </c>
    </row>
    <row r="67" spans="1:22" s="13" customFormat="1" ht="90" customHeight="1">
      <c r="A67" s="120" t="s">
        <v>145</v>
      </c>
      <c r="B67" s="180" t="s">
        <v>146</v>
      </c>
      <c r="C67" s="183" t="s">
        <v>147</v>
      </c>
      <c r="D67" s="180" t="s">
        <v>148</v>
      </c>
      <c r="E67" s="169">
        <v>585000</v>
      </c>
      <c r="F67" s="169">
        <v>208662.28</v>
      </c>
      <c r="G67" s="120" t="s">
        <v>149</v>
      </c>
      <c r="H67" s="120" t="s">
        <v>150</v>
      </c>
      <c r="I67" s="113" t="s">
        <v>151</v>
      </c>
      <c r="J67" s="79" t="s">
        <v>61</v>
      </c>
      <c r="K67" s="79" t="s">
        <v>390</v>
      </c>
      <c r="L67" s="114">
        <v>793662.28</v>
      </c>
      <c r="M67" s="79" t="s">
        <v>61</v>
      </c>
      <c r="N67" s="120" t="s">
        <v>46</v>
      </c>
      <c r="O67" s="109">
        <v>0</v>
      </c>
      <c r="P67" s="41">
        <v>0</v>
      </c>
      <c r="Q67" s="127" t="s">
        <v>34</v>
      </c>
      <c r="R67" s="109">
        <f aca="true" t="shared" si="4" ref="R67:R81">0+0</f>
        <v>0</v>
      </c>
      <c r="S67" s="109">
        <f t="shared" si="1"/>
        <v>0</v>
      </c>
      <c r="T67" s="109">
        <f t="shared" si="0"/>
        <v>0</v>
      </c>
      <c r="U67" s="41">
        <f>439504.45+T67</f>
        <v>439504.45</v>
      </c>
      <c r="V67" s="57" t="s">
        <v>152</v>
      </c>
    </row>
    <row r="68" spans="1:22" s="13" customFormat="1" ht="90" customHeight="1">
      <c r="A68" s="120" t="s">
        <v>153</v>
      </c>
      <c r="B68" s="181"/>
      <c r="C68" s="184"/>
      <c r="D68" s="181"/>
      <c r="E68" s="170"/>
      <c r="F68" s="170"/>
      <c r="G68" s="120" t="s">
        <v>154</v>
      </c>
      <c r="H68" s="120" t="s">
        <v>155</v>
      </c>
      <c r="I68" s="113" t="s">
        <v>156</v>
      </c>
      <c r="J68" s="79">
        <v>42964</v>
      </c>
      <c r="K68" s="79" t="s">
        <v>297</v>
      </c>
      <c r="L68" s="114">
        <v>462564.29</v>
      </c>
      <c r="M68" s="79">
        <v>43389</v>
      </c>
      <c r="N68" s="120" t="s">
        <v>390</v>
      </c>
      <c r="O68" s="109">
        <v>0</v>
      </c>
      <c r="P68" s="41">
        <v>0</v>
      </c>
      <c r="Q68" s="127" t="s">
        <v>34</v>
      </c>
      <c r="R68" s="109">
        <f t="shared" si="4"/>
        <v>0</v>
      </c>
      <c r="S68" s="109">
        <f t="shared" si="1"/>
        <v>0</v>
      </c>
      <c r="T68" s="109">
        <f t="shared" si="0"/>
        <v>0</v>
      </c>
      <c r="U68" s="41">
        <f>112313.14+T68</f>
        <v>112313.14</v>
      </c>
      <c r="V68" s="57" t="s">
        <v>195</v>
      </c>
    </row>
    <row r="69" spans="1:22" s="13" customFormat="1" ht="189.75" customHeight="1">
      <c r="A69" s="120" t="s">
        <v>200</v>
      </c>
      <c r="B69" s="181"/>
      <c r="C69" s="184"/>
      <c r="D69" s="181"/>
      <c r="E69" s="170"/>
      <c r="F69" s="170"/>
      <c r="G69" s="120" t="s">
        <v>201</v>
      </c>
      <c r="H69" s="120" t="s">
        <v>202</v>
      </c>
      <c r="I69" s="113" t="s">
        <v>203</v>
      </c>
      <c r="J69" s="79">
        <v>40379</v>
      </c>
      <c r="K69" s="79" t="s">
        <v>297</v>
      </c>
      <c r="L69" s="114">
        <v>292807.05</v>
      </c>
      <c r="M69" s="79">
        <v>44275</v>
      </c>
      <c r="N69" s="120" t="s">
        <v>206</v>
      </c>
      <c r="O69" s="109">
        <f>4856.23+22334.8+27586.57+0</f>
        <v>54777.6</v>
      </c>
      <c r="P69" s="41">
        <v>0</v>
      </c>
      <c r="Q69" s="127" t="s">
        <v>34</v>
      </c>
      <c r="R69" s="109">
        <f>24725.82+20471.44+50756.86+0</f>
        <v>95954.12</v>
      </c>
      <c r="S69" s="109">
        <v>50756.86</v>
      </c>
      <c r="T69" s="109">
        <f t="shared" si="0"/>
        <v>95954.11999999998</v>
      </c>
      <c r="U69" s="41">
        <f>11966.51+T69</f>
        <v>107920.62999999998</v>
      </c>
      <c r="V69" s="57" t="s">
        <v>47</v>
      </c>
    </row>
    <row r="70" spans="1:22" s="13" customFormat="1" ht="120" customHeight="1">
      <c r="A70" s="120" t="s">
        <v>416</v>
      </c>
      <c r="B70" s="182"/>
      <c r="C70" s="185"/>
      <c r="D70" s="182"/>
      <c r="E70" s="171"/>
      <c r="F70" s="171"/>
      <c r="G70" s="120" t="s">
        <v>417</v>
      </c>
      <c r="H70" s="120" t="s">
        <v>418</v>
      </c>
      <c r="I70" s="113" t="s">
        <v>419</v>
      </c>
      <c r="J70" s="79">
        <v>44742</v>
      </c>
      <c r="K70" s="79" t="s">
        <v>402</v>
      </c>
      <c r="L70" s="114">
        <v>39141.46</v>
      </c>
      <c r="M70" s="120" t="s">
        <v>45</v>
      </c>
      <c r="N70" s="120" t="s">
        <v>45</v>
      </c>
      <c r="O70" s="109">
        <v>0</v>
      </c>
      <c r="P70" s="41">
        <v>0</v>
      </c>
      <c r="Q70" s="127" t="s">
        <v>34</v>
      </c>
      <c r="R70" s="109">
        <v>0</v>
      </c>
      <c r="S70" s="109">
        <f t="shared" si="1"/>
        <v>0</v>
      </c>
      <c r="T70" s="109">
        <f>R70+S70-S70</f>
        <v>0</v>
      </c>
      <c r="U70" s="41">
        <f>0+T70</f>
        <v>0</v>
      </c>
      <c r="V70" s="57" t="s">
        <v>47</v>
      </c>
    </row>
    <row r="71" spans="1:22" s="13" customFormat="1" ht="120" customHeight="1">
      <c r="A71" s="120" t="s">
        <v>158</v>
      </c>
      <c r="B71" s="180" t="s">
        <v>159</v>
      </c>
      <c r="C71" s="183" t="s">
        <v>160</v>
      </c>
      <c r="D71" s="180" t="s">
        <v>148</v>
      </c>
      <c r="E71" s="169">
        <v>487500</v>
      </c>
      <c r="F71" s="169">
        <v>48750</v>
      </c>
      <c r="G71" s="79" t="s">
        <v>161</v>
      </c>
      <c r="H71" s="120" t="s">
        <v>162</v>
      </c>
      <c r="I71" s="113" t="s">
        <v>163</v>
      </c>
      <c r="J71" s="79">
        <v>41837</v>
      </c>
      <c r="K71" s="79" t="s">
        <v>157</v>
      </c>
      <c r="L71" s="114">
        <v>464262.35</v>
      </c>
      <c r="M71" s="79">
        <v>43096</v>
      </c>
      <c r="N71" s="120" t="s">
        <v>205</v>
      </c>
      <c r="O71" s="109">
        <f>71954.18</f>
        <v>71954.18</v>
      </c>
      <c r="P71" s="41">
        <v>0</v>
      </c>
      <c r="Q71" s="127" t="s">
        <v>34</v>
      </c>
      <c r="R71" s="109">
        <f t="shared" si="4"/>
        <v>0</v>
      </c>
      <c r="S71" s="109">
        <f t="shared" si="1"/>
        <v>0</v>
      </c>
      <c r="T71" s="109">
        <f t="shared" si="0"/>
        <v>0</v>
      </c>
      <c r="U71" s="41">
        <f>7710.2+8166.24+77102.02+73496.15+84812.22+22839.48+T71</f>
        <v>274126.31</v>
      </c>
      <c r="V71" s="57" t="s">
        <v>268</v>
      </c>
    </row>
    <row r="72" spans="1:22" s="13" customFormat="1" ht="120" customHeight="1">
      <c r="A72" s="120" t="s">
        <v>164</v>
      </c>
      <c r="B72" s="182"/>
      <c r="C72" s="185"/>
      <c r="D72" s="182"/>
      <c r="E72" s="171"/>
      <c r="F72" s="171"/>
      <c r="G72" s="79" t="s">
        <v>165</v>
      </c>
      <c r="H72" s="79" t="s">
        <v>166</v>
      </c>
      <c r="I72" s="79" t="s">
        <v>167</v>
      </c>
      <c r="J72" s="79">
        <v>43661</v>
      </c>
      <c r="K72" s="79" t="s">
        <v>297</v>
      </c>
      <c r="L72" s="128">
        <v>230087.16</v>
      </c>
      <c r="M72" s="79">
        <v>44355</v>
      </c>
      <c r="N72" s="120" t="s">
        <v>194</v>
      </c>
      <c r="O72" s="109">
        <v>0</v>
      </c>
      <c r="P72" s="41">
        <v>0</v>
      </c>
      <c r="Q72" s="127" t="s">
        <v>34</v>
      </c>
      <c r="R72" s="109">
        <f>0+0</f>
        <v>0</v>
      </c>
      <c r="S72" s="109">
        <f t="shared" si="1"/>
        <v>0</v>
      </c>
      <c r="T72" s="109">
        <f t="shared" si="0"/>
        <v>0</v>
      </c>
      <c r="U72" s="41">
        <f>35717.99+121814.12+T72</f>
        <v>157532.11</v>
      </c>
      <c r="V72" s="57" t="s">
        <v>224</v>
      </c>
    </row>
    <row r="73" spans="1:22" s="13" customFormat="1" ht="189.75" customHeight="1">
      <c r="A73" s="120" t="s">
        <v>168</v>
      </c>
      <c r="B73" s="120" t="s">
        <v>169</v>
      </c>
      <c r="C73" s="113" t="s">
        <v>170</v>
      </c>
      <c r="D73" s="120" t="s">
        <v>148</v>
      </c>
      <c r="E73" s="45">
        <f>3000000-2591233</f>
        <v>408767</v>
      </c>
      <c r="F73" s="45">
        <v>681.32</v>
      </c>
      <c r="G73" s="79" t="s">
        <v>171</v>
      </c>
      <c r="H73" s="120" t="s">
        <v>172</v>
      </c>
      <c r="I73" s="113" t="s">
        <v>173</v>
      </c>
      <c r="J73" s="79">
        <v>43108</v>
      </c>
      <c r="K73" s="79" t="s">
        <v>184</v>
      </c>
      <c r="L73" s="114">
        <v>464262.35</v>
      </c>
      <c r="M73" s="79">
        <v>43838</v>
      </c>
      <c r="N73" s="120" t="s">
        <v>295</v>
      </c>
      <c r="O73" s="109">
        <v>0</v>
      </c>
      <c r="P73" s="41">
        <v>0</v>
      </c>
      <c r="Q73" s="127" t="s">
        <v>34</v>
      </c>
      <c r="R73" s="41">
        <f>22790.64+0</f>
        <v>22790.64</v>
      </c>
      <c r="S73" s="109">
        <v>22790.64</v>
      </c>
      <c r="T73" s="109">
        <f t="shared" si="0"/>
        <v>22790.64</v>
      </c>
      <c r="U73" s="41">
        <f>111286.09+63093.14+64047.11+76638.7+T73</f>
        <v>337855.68</v>
      </c>
      <c r="V73" s="57" t="s">
        <v>62</v>
      </c>
    </row>
    <row r="74" spans="1:22" s="13" customFormat="1" ht="180" customHeight="1">
      <c r="A74" s="120" t="s">
        <v>174</v>
      </c>
      <c r="B74" s="122" t="s">
        <v>175</v>
      </c>
      <c r="C74" s="129" t="s">
        <v>176</v>
      </c>
      <c r="D74" s="122" t="s">
        <v>148</v>
      </c>
      <c r="E74" s="111">
        <v>1008477.6</v>
      </c>
      <c r="F74" s="111">
        <v>1070</v>
      </c>
      <c r="G74" s="79" t="s">
        <v>177</v>
      </c>
      <c r="H74" s="120" t="s">
        <v>178</v>
      </c>
      <c r="I74" s="113" t="s">
        <v>179</v>
      </c>
      <c r="J74" s="79">
        <v>43409</v>
      </c>
      <c r="K74" s="79" t="s">
        <v>157</v>
      </c>
      <c r="L74" s="114">
        <v>1746130.1</v>
      </c>
      <c r="M74" s="79">
        <v>43759</v>
      </c>
      <c r="N74" s="120" t="s">
        <v>194</v>
      </c>
      <c r="O74" s="109">
        <v>0</v>
      </c>
      <c r="P74" s="41">
        <v>0</v>
      </c>
      <c r="Q74" s="127" t="s">
        <v>34</v>
      </c>
      <c r="R74" s="109">
        <f t="shared" si="4"/>
        <v>0</v>
      </c>
      <c r="S74" s="109">
        <f t="shared" si="1"/>
        <v>0</v>
      </c>
      <c r="T74" s="109">
        <f t="shared" si="0"/>
        <v>0</v>
      </c>
      <c r="U74" s="41">
        <f>0+56207.44+T74</f>
        <v>56207.44</v>
      </c>
      <c r="V74" s="57" t="s">
        <v>375</v>
      </c>
    </row>
    <row r="75" spans="1:22" s="13" customFormat="1" ht="219.75" customHeight="1">
      <c r="A75" s="120" t="s">
        <v>180</v>
      </c>
      <c r="B75" s="120" t="s">
        <v>181</v>
      </c>
      <c r="C75" s="113" t="s">
        <v>182</v>
      </c>
      <c r="D75" s="120" t="s">
        <v>148</v>
      </c>
      <c r="E75" s="45">
        <v>295000</v>
      </c>
      <c r="F75" s="45">
        <v>5000</v>
      </c>
      <c r="G75" s="120" t="s">
        <v>139</v>
      </c>
      <c r="H75" s="120" t="s">
        <v>120</v>
      </c>
      <c r="I75" s="120" t="s">
        <v>183</v>
      </c>
      <c r="J75" s="79">
        <v>43584</v>
      </c>
      <c r="K75" s="120" t="s">
        <v>300</v>
      </c>
      <c r="L75" s="114">
        <v>299227.98</v>
      </c>
      <c r="M75" s="79">
        <v>44588</v>
      </c>
      <c r="N75" s="120" t="s">
        <v>296</v>
      </c>
      <c r="O75" s="109">
        <v>0</v>
      </c>
      <c r="P75" s="46">
        <v>0</v>
      </c>
      <c r="Q75" s="127" t="s">
        <v>34</v>
      </c>
      <c r="R75" s="109">
        <f>132625.01+0</f>
        <v>132625.01</v>
      </c>
      <c r="S75" s="109">
        <f t="shared" si="1"/>
        <v>0</v>
      </c>
      <c r="T75" s="109">
        <f t="shared" si="0"/>
        <v>132625.01</v>
      </c>
      <c r="U75" s="41">
        <f>104004+60121.48+T75</f>
        <v>296750.49</v>
      </c>
      <c r="V75" s="116" t="s">
        <v>224</v>
      </c>
    </row>
    <row r="76" spans="1:22" s="13" customFormat="1" ht="180" customHeight="1">
      <c r="A76" s="120" t="s">
        <v>185</v>
      </c>
      <c r="B76" s="120" t="s">
        <v>186</v>
      </c>
      <c r="C76" s="113" t="s">
        <v>187</v>
      </c>
      <c r="D76" s="120" t="s">
        <v>148</v>
      </c>
      <c r="E76" s="45">
        <v>345000</v>
      </c>
      <c r="F76" s="45">
        <v>74173.26</v>
      </c>
      <c r="G76" s="120" t="s">
        <v>188</v>
      </c>
      <c r="H76" s="120" t="s">
        <v>110</v>
      </c>
      <c r="I76" s="120" t="s">
        <v>189</v>
      </c>
      <c r="J76" s="79">
        <v>43628</v>
      </c>
      <c r="K76" s="120" t="s">
        <v>297</v>
      </c>
      <c r="L76" s="114">
        <f>419173.26+126167.93</f>
        <v>545341.19</v>
      </c>
      <c r="M76" s="79">
        <v>44439</v>
      </c>
      <c r="N76" s="120" t="s">
        <v>421</v>
      </c>
      <c r="O76" s="109">
        <v>126167.93</v>
      </c>
      <c r="P76" s="46">
        <v>83778.58</v>
      </c>
      <c r="Q76" s="127" t="s">
        <v>34</v>
      </c>
      <c r="R76" s="109">
        <f>83778.58+0</f>
        <v>83778.58</v>
      </c>
      <c r="S76" s="109">
        <f t="shared" si="1"/>
        <v>0</v>
      </c>
      <c r="T76" s="109">
        <f t="shared" si="0"/>
        <v>83778.58</v>
      </c>
      <c r="U76" s="41">
        <f>0+212067.13+288422.92+T76</f>
        <v>584268.63</v>
      </c>
      <c r="V76" s="116" t="s">
        <v>224</v>
      </c>
    </row>
    <row r="77" spans="1:22" s="13" customFormat="1" ht="180" customHeight="1">
      <c r="A77" s="120" t="s">
        <v>212</v>
      </c>
      <c r="B77" s="120" t="s">
        <v>213</v>
      </c>
      <c r="C77" s="113" t="s">
        <v>214</v>
      </c>
      <c r="D77" s="120" t="s">
        <v>148</v>
      </c>
      <c r="E77" s="45">
        <v>222857.14</v>
      </c>
      <c r="F77" s="45">
        <v>300</v>
      </c>
      <c r="G77" s="120" t="s">
        <v>215</v>
      </c>
      <c r="H77" s="120" t="s">
        <v>216</v>
      </c>
      <c r="I77" s="120" t="s">
        <v>217</v>
      </c>
      <c r="J77" s="79">
        <v>44090</v>
      </c>
      <c r="K77" s="120" t="s">
        <v>157</v>
      </c>
      <c r="L77" s="114">
        <v>163992.97</v>
      </c>
      <c r="M77" s="79">
        <v>44336</v>
      </c>
      <c r="N77" s="120" t="s">
        <v>70</v>
      </c>
      <c r="O77" s="109">
        <v>0</v>
      </c>
      <c r="P77" s="46">
        <v>0</v>
      </c>
      <c r="Q77" s="127" t="s">
        <v>34</v>
      </c>
      <c r="R77" s="109">
        <f t="shared" si="4"/>
        <v>0</v>
      </c>
      <c r="S77" s="109">
        <f t="shared" si="1"/>
        <v>0</v>
      </c>
      <c r="T77" s="109">
        <f t="shared" si="0"/>
        <v>0</v>
      </c>
      <c r="U77" s="41">
        <f>0+T77</f>
        <v>0</v>
      </c>
      <c r="V77" s="67" t="s">
        <v>378</v>
      </c>
    </row>
    <row r="78" spans="1:22" ht="157.5" customHeight="1">
      <c r="A78" s="120" t="s">
        <v>219</v>
      </c>
      <c r="B78" s="120" t="s">
        <v>218</v>
      </c>
      <c r="C78" s="113" t="s">
        <v>220</v>
      </c>
      <c r="D78" s="120" t="s">
        <v>148</v>
      </c>
      <c r="E78" s="45">
        <v>222857.14</v>
      </c>
      <c r="F78" s="45">
        <f>(300+112248.71)</f>
        <v>112548.71</v>
      </c>
      <c r="G78" s="120" t="s">
        <v>221</v>
      </c>
      <c r="H78" s="120" t="s">
        <v>222</v>
      </c>
      <c r="I78" s="120" t="s">
        <v>422</v>
      </c>
      <c r="J78" s="79">
        <v>44309</v>
      </c>
      <c r="K78" s="120" t="s">
        <v>297</v>
      </c>
      <c r="L78" s="114">
        <v>220865.92</v>
      </c>
      <c r="M78" s="79">
        <v>44744</v>
      </c>
      <c r="N78" s="120" t="s">
        <v>70</v>
      </c>
      <c r="O78" s="109">
        <v>0</v>
      </c>
      <c r="P78" s="46">
        <v>0</v>
      </c>
      <c r="Q78" s="127" t="s">
        <v>34</v>
      </c>
      <c r="R78" s="109">
        <f t="shared" si="4"/>
        <v>0</v>
      </c>
      <c r="S78" s="109">
        <f t="shared" si="1"/>
        <v>0</v>
      </c>
      <c r="T78" s="109">
        <f t="shared" si="0"/>
        <v>0</v>
      </c>
      <c r="U78" s="41">
        <f>0+T78</f>
        <v>0</v>
      </c>
      <c r="V78" s="67" t="s">
        <v>378</v>
      </c>
    </row>
    <row r="79" spans="1:22" ht="189" customHeight="1">
      <c r="A79" s="120" t="s">
        <v>270</v>
      </c>
      <c r="B79" s="120" t="s">
        <v>269</v>
      </c>
      <c r="C79" s="113" t="s">
        <v>271</v>
      </c>
      <c r="D79" s="120" t="s">
        <v>148</v>
      </c>
      <c r="E79" s="45">
        <v>222857.14</v>
      </c>
      <c r="F79" s="45">
        <v>300</v>
      </c>
      <c r="G79" s="120" t="s">
        <v>272</v>
      </c>
      <c r="H79" s="120" t="s">
        <v>115</v>
      </c>
      <c r="I79" s="120" t="s">
        <v>273</v>
      </c>
      <c r="J79" s="79">
        <v>44470</v>
      </c>
      <c r="K79" s="120" t="s">
        <v>387</v>
      </c>
      <c r="L79" s="114">
        <v>222774.02</v>
      </c>
      <c r="M79" s="79" t="s">
        <v>60</v>
      </c>
      <c r="N79" s="120" t="s">
        <v>387</v>
      </c>
      <c r="O79" s="109">
        <v>0</v>
      </c>
      <c r="P79" s="46">
        <v>0</v>
      </c>
      <c r="Q79" s="127" t="s">
        <v>34</v>
      </c>
      <c r="R79" s="109">
        <f t="shared" si="4"/>
        <v>0</v>
      </c>
      <c r="S79" s="109">
        <f t="shared" si="1"/>
        <v>0</v>
      </c>
      <c r="T79" s="109">
        <f t="shared" si="0"/>
        <v>0</v>
      </c>
      <c r="U79" s="41">
        <f>0+T79</f>
        <v>0</v>
      </c>
      <c r="V79" s="116" t="s">
        <v>405</v>
      </c>
    </row>
    <row r="80" spans="1:22" ht="68.25" customHeight="1">
      <c r="A80" s="120" t="s">
        <v>277</v>
      </c>
      <c r="B80" s="120" t="s">
        <v>275</v>
      </c>
      <c r="C80" s="113" t="s">
        <v>276</v>
      </c>
      <c r="D80" s="120" t="s">
        <v>274</v>
      </c>
      <c r="E80" s="45">
        <v>583662.81</v>
      </c>
      <c r="F80" s="45">
        <v>642.74</v>
      </c>
      <c r="G80" s="120" t="s">
        <v>221</v>
      </c>
      <c r="H80" s="120" t="s">
        <v>222</v>
      </c>
      <c r="I80" s="120" t="s">
        <v>278</v>
      </c>
      <c r="J80" s="79">
        <v>44285</v>
      </c>
      <c r="K80" s="120" t="s">
        <v>402</v>
      </c>
      <c r="L80" s="114">
        <v>584305.55</v>
      </c>
      <c r="M80" s="79">
        <v>44551</v>
      </c>
      <c r="N80" s="120" t="s">
        <v>70</v>
      </c>
      <c r="O80" s="109">
        <v>0</v>
      </c>
      <c r="P80" s="46">
        <v>0</v>
      </c>
      <c r="Q80" s="127" t="s">
        <v>34</v>
      </c>
      <c r="R80" s="109">
        <f t="shared" si="4"/>
        <v>0</v>
      </c>
      <c r="S80" s="109">
        <f t="shared" si="1"/>
        <v>0</v>
      </c>
      <c r="T80" s="109">
        <f t="shared" si="0"/>
        <v>0</v>
      </c>
      <c r="U80" s="41">
        <f>0+T80</f>
        <v>0</v>
      </c>
      <c r="V80" s="67" t="s">
        <v>423</v>
      </c>
    </row>
    <row r="81" spans="1:22" ht="64.5" customHeight="1">
      <c r="A81" s="120" t="s">
        <v>281</v>
      </c>
      <c r="B81" s="120" t="s">
        <v>279</v>
      </c>
      <c r="C81" s="113" t="s">
        <v>285</v>
      </c>
      <c r="D81" s="120" t="s">
        <v>274</v>
      </c>
      <c r="E81" s="78" t="s">
        <v>280</v>
      </c>
      <c r="F81" s="45">
        <v>910.83</v>
      </c>
      <c r="G81" s="120" t="s">
        <v>283</v>
      </c>
      <c r="H81" s="120" t="s">
        <v>284</v>
      </c>
      <c r="I81" s="120" t="s">
        <v>282</v>
      </c>
      <c r="J81" s="79">
        <v>44368</v>
      </c>
      <c r="K81" s="120" t="s">
        <v>353</v>
      </c>
      <c r="L81" s="114">
        <v>547199.57</v>
      </c>
      <c r="M81" s="79">
        <v>44551</v>
      </c>
      <c r="N81" s="120" t="s">
        <v>70</v>
      </c>
      <c r="O81" s="109">
        <v>0</v>
      </c>
      <c r="P81" s="46">
        <v>0</v>
      </c>
      <c r="Q81" s="127" t="s">
        <v>34</v>
      </c>
      <c r="R81" s="109">
        <f t="shared" si="4"/>
        <v>0</v>
      </c>
      <c r="S81" s="109">
        <f t="shared" si="1"/>
        <v>0</v>
      </c>
      <c r="T81" s="109">
        <f t="shared" si="0"/>
        <v>0</v>
      </c>
      <c r="U81" s="41">
        <f>0+T81</f>
        <v>0</v>
      </c>
      <c r="V81" s="67" t="s">
        <v>378</v>
      </c>
    </row>
  </sheetData>
  <sheetProtection/>
  <mergeCells count="67">
    <mergeCell ref="A1:V1"/>
    <mergeCell ref="A2:V2"/>
    <mergeCell ref="A4:V4"/>
    <mergeCell ref="I7:O7"/>
    <mergeCell ref="P7:V7"/>
    <mergeCell ref="I8:O8"/>
    <mergeCell ref="P8:V8"/>
    <mergeCell ref="A10:O10"/>
    <mergeCell ref="P10:P12"/>
    <mergeCell ref="Q10:T10"/>
    <mergeCell ref="U10:U12"/>
    <mergeCell ref="V10:V12"/>
    <mergeCell ref="A11:A12"/>
    <mergeCell ref="B11:B12"/>
    <mergeCell ref="C11:F11"/>
    <mergeCell ref="G11:H11"/>
    <mergeCell ref="I11:M11"/>
    <mergeCell ref="N11:O11"/>
    <mergeCell ref="Q11:Q12"/>
    <mergeCell ref="R11:R12"/>
    <mergeCell ref="S11:S12"/>
    <mergeCell ref="T11:T12"/>
    <mergeCell ref="B14:B17"/>
    <mergeCell ref="C14:C17"/>
    <mergeCell ref="D14:D17"/>
    <mergeCell ref="E14:E17"/>
    <mergeCell ref="F14:F17"/>
    <mergeCell ref="B18:B19"/>
    <mergeCell ref="C18:C19"/>
    <mergeCell ref="D18:D19"/>
    <mergeCell ref="E18:E19"/>
    <mergeCell ref="F18:F19"/>
    <mergeCell ref="B20:B22"/>
    <mergeCell ref="C20:C22"/>
    <mergeCell ref="D20:D22"/>
    <mergeCell ref="E20:E22"/>
    <mergeCell ref="F20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33:B34"/>
    <mergeCell ref="C33:C34"/>
    <mergeCell ref="D33:D34"/>
    <mergeCell ref="E33:E34"/>
    <mergeCell ref="F33:F34"/>
    <mergeCell ref="B29:B30"/>
    <mergeCell ref="C29:C30"/>
    <mergeCell ref="D29:D30"/>
    <mergeCell ref="E29:E30"/>
    <mergeCell ref="F29:F30"/>
    <mergeCell ref="B67:B70"/>
    <mergeCell ref="C67:C70"/>
    <mergeCell ref="D67:D70"/>
    <mergeCell ref="E67:E70"/>
    <mergeCell ref="F67:F70"/>
    <mergeCell ref="B71:B72"/>
    <mergeCell ref="C71:C72"/>
    <mergeCell ref="D71:D72"/>
    <mergeCell ref="E71:E72"/>
    <mergeCell ref="F71:F7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="60" zoomScaleNormal="60" zoomScalePageLayoutView="0" workbookViewId="0" topLeftCell="A1">
      <pane ySplit="13" topLeftCell="A14" activePane="bottomLeft" state="frozen"/>
      <selection pane="topLeft" activeCell="A1" sqref="A1"/>
      <selection pane="bottomLeft" activeCell="A1" sqref="A1:V1"/>
    </sheetView>
  </sheetViews>
  <sheetFormatPr defaultColWidth="8.7109375" defaultRowHeight="15"/>
  <cols>
    <col min="1" max="1" width="18.57421875" style="2" customWidth="1"/>
    <col min="2" max="2" width="21.8515625" style="2" customWidth="1"/>
    <col min="3" max="3" width="17.28125" style="4" customWidth="1"/>
    <col min="4" max="4" width="19.421875" style="4" customWidth="1"/>
    <col min="5" max="5" width="21.28125" style="4" customWidth="1"/>
    <col min="6" max="6" width="19.421875" style="4" customWidth="1"/>
    <col min="7" max="7" width="19.421875" style="6" customWidth="1"/>
    <col min="8" max="8" width="22.140625" style="4" customWidth="1"/>
    <col min="9" max="9" width="11.140625" style="6" customWidth="1"/>
    <col min="10" max="10" width="16.00390625" style="6" customWidth="1"/>
    <col min="11" max="11" width="19.421875" style="6" customWidth="1"/>
    <col min="12" max="12" width="21.57421875" style="6" customWidth="1"/>
    <col min="13" max="13" width="21.7109375" style="6" customWidth="1"/>
    <col min="14" max="14" width="19.421875" style="6" customWidth="1"/>
    <col min="15" max="15" width="19.421875" style="4" customWidth="1"/>
    <col min="16" max="16" width="19.421875" style="6" customWidth="1"/>
    <col min="17" max="17" width="19.421875" style="4" customWidth="1"/>
    <col min="18" max="18" width="22.00390625" style="4" customWidth="1"/>
    <col min="19" max="19" width="21.57421875" style="4" customWidth="1"/>
    <col min="20" max="20" width="20.8515625" style="6" customWidth="1"/>
    <col min="21" max="21" width="21.28125" style="4" customWidth="1"/>
    <col min="22" max="22" width="27.8515625" style="5" customWidth="1"/>
    <col min="23" max="23" width="19.140625" style="1" customWidth="1"/>
    <col min="24" max="16384" width="8.7109375" style="1" customWidth="1"/>
  </cols>
  <sheetData>
    <row r="1" spans="1:22" ht="18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ht="18.7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ht="15">
      <c r="P3" s="4"/>
    </row>
    <row r="4" spans="1:22" ht="18.75">
      <c r="A4" s="158" t="s">
        <v>307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16:22" ht="15">
      <c r="P5" s="4"/>
      <c r="Q5" s="6"/>
      <c r="R5" s="6"/>
      <c r="T5" s="4"/>
      <c r="U5" s="5"/>
      <c r="V5" s="12"/>
    </row>
    <row r="6" spans="6:22" ht="15">
      <c r="F6" s="6"/>
      <c r="P6" s="4"/>
      <c r="Q6" s="6"/>
      <c r="R6" s="8"/>
      <c r="S6" s="5"/>
      <c r="V6" s="12"/>
    </row>
    <row r="7" spans="1:23" ht="15">
      <c r="A7" s="25" t="s">
        <v>2</v>
      </c>
      <c r="C7" s="7">
        <v>210101</v>
      </c>
      <c r="E7" s="35" t="s">
        <v>3</v>
      </c>
      <c r="F7" s="47">
        <v>2022</v>
      </c>
      <c r="I7" s="142" t="s">
        <v>380</v>
      </c>
      <c r="J7" s="142"/>
      <c r="K7" s="142"/>
      <c r="L7" s="142"/>
      <c r="M7" s="142"/>
      <c r="N7" s="142"/>
      <c r="O7" s="142"/>
      <c r="P7" s="142" t="s">
        <v>380</v>
      </c>
      <c r="Q7" s="142"/>
      <c r="R7" s="142"/>
      <c r="S7" s="142"/>
      <c r="T7" s="142"/>
      <c r="U7" s="142"/>
      <c r="V7" s="142"/>
      <c r="W7" s="40"/>
    </row>
    <row r="8" spans="1:23" ht="15">
      <c r="A8" s="25" t="s">
        <v>4</v>
      </c>
      <c r="C8" s="7" t="s">
        <v>5</v>
      </c>
      <c r="E8" s="36" t="s">
        <v>6</v>
      </c>
      <c r="F8" s="47" t="s">
        <v>440</v>
      </c>
      <c r="G8" s="48"/>
      <c r="I8" s="142" t="s">
        <v>144</v>
      </c>
      <c r="J8" s="142"/>
      <c r="K8" s="142"/>
      <c r="L8" s="142"/>
      <c r="M8" s="142"/>
      <c r="N8" s="142"/>
      <c r="O8" s="142"/>
      <c r="P8" s="142" t="s">
        <v>144</v>
      </c>
      <c r="Q8" s="142"/>
      <c r="R8" s="142"/>
      <c r="S8" s="142"/>
      <c r="T8" s="142"/>
      <c r="U8" s="142"/>
      <c r="V8" s="142"/>
      <c r="W8" s="40"/>
    </row>
    <row r="9" ht="15">
      <c r="P9" s="4"/>
    </row>
    <row r="10" spans="1:22" ht="15" customHeight="1">
      <c r="A10" s="159" t="s">
        <v>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43" t="s">
        <v>66</v>
      </c>
      <c r="Q10" s="160" t="s">
        <v>8</v>
      </c>
      <c r="R10" s="161"/>
      <c r="S10" s="161"/>
      <c r="T10" s="162"/>
      <c r="U10" s="143" t="s">
        <v>9</v>
      </c>
      <c r="V10" s="143" t="s">
        <v>10</v>
      </c>
    </row>
    <row r="11" spans="1:22" ht="15" customHeight="1">
      <c r="A11" s="167" t="s">
        <v>11</v>
      </c>
      <c r="B11" s="175" t="s">
        <v>12</v>
      </c>
      <c r="C11" s="160" t="s">
        <v>13</v>
      </c>
      <c r="D11" s="161"/>
      <c r="E11" s="161"/>
      <c r="F11" s="162"/>
      <c r="G11" s="160" t="s">
        <v>14</v>
      </c>
      <c r="H11" s="162"/>
      <c r="I11" s="160" t="s">
        <v>15</v>
      </c>
      <c r="J11" s="161"/>
      <c r="K11" s="161"/>
      <c r="L11" s="161"/>
      <c r="M11" s="162"/>
      <c r="N11" s="160" t="s">
        <v>16</v>
      </c>
      <c r="O11" s="162"/>
      <c r="P11" s="154"/>
      <c r="Q11" s="145" t="s">
        <v>17</v>
      </c>
      <c r="R11" s="147" t="s">
        <v>18</v>
      </c>
      <c r="S11" s="147" t="s">
        <v>19</v>
      </c>
      <c r="T11" s="155" t="s">
        <v>20</v>
      </c>
      <c r="U11" s="144"/>
      <c r="V11" s="144"/>
    </row>
    <row r="12" spans="1:22" ht="90" customHeight="1">
      <c r="A12" s="168"/>
      <c r="B12" s="176"/>
      <c r="C12" s="136" t="s">
        <v>21</v>
      </c>
      <c r="D12" s="133" t="s">
        <v>22</v>
      </c>
      <c r="E12" s="133" t="s">
        <v>23</v>
      </c>
      <c r="F12" s="137" t="s">
        <v>24</v>
      </c>
      <c r="G12" s="136" t="s">
        <v>25</v>
      </c>
      <c r="H12" s="137" t="s">
        <v>26</v>
      </c>
      <c r="I12" s="10" t="s">
        <v>21</v>
      </c>
      <c r="J12" s="11" t="s">
        <v>27</v>
      </c>
      <c r="K12" s="11" t="s">
        <v>28</v>
      </c>
      <c r="L12" s="11" t="s">
        <v>29</v>
      </c>
      <c r="M12" s="9" t="s">
        <v>142</v>
      </c>
      <c r="N12" s="10" t="s">
        <v>30</v>
      </c>
      <c r="O12" s="9" t="s">
        <v>31</v>
      </c>
      <c r="P12" s="154"/>
      <c r="Q12" s="146"/>
      <c r="R12" s="148"/>
      <c r="S12" s="148"/>
      <c r="T12" s="156"/>
      <c r="U12" s="144"/>
      <c r="V12" s="144"/>
    </row>
    <row r="13" spans="1:22" ht="15.75">
      <c r="A13" s="26">
        <v>-5</v>
      </c>
      <c r="B13" s="26">
        <v>-6</v>
      </c>
      <c r="C13" s="18">
        <v>-7</v>
      </c>
      <c r="D13" s="19">
        <v>-8</v>
      </c>
      <c r="E13" s="19">
        <v>-9</v>
      </c>
      <c r="F13" s="20">
        <v>-10</v>
      </c>
      <c r="G13" s="18">
        <v>-11</v>
      </c>
      <c r="H13" s="20">
        <v>-12</v>
      </c>
      <c r="I13" s="21">
        <v>-13</v>
      </c>
      <c r="J13" s="22">
        <v>-14</v>
      </c>
      <c r="K13" s="22">
        <v>-15</v>
      </c>
      <c r="L13" s="22">
        <v>-16</v>
      </c>
      <c r="M13" s="23">
        <v>-17</v>
      </c>
      <c r="N13" s="21">
        <v>-18</v>
      </c>
      <c r="O13" s="23">
        <v>-19</v>
      </c>
      <c r="P13" s="17">
        <v>-20</v>
      </c>
      <c r="Q13" s="18">
        <v>-21</v>
      </c>
      <c r="R13" s="19">
        <v>-22</v>
      </c>
      <c r="S13" s="19">
        <v>-23</v>
      </c>
      <c r="T13" s="20">
        <v>-24</v>
      </c>
      <c r="U13" s="17">
        <v>-25</v>
      </c>
      <c r="V13" s="17">
        <v>-26</v>
      </c>
    </row>
    <row r="14" spans="1:22" s="2" customFormat="1" ht="90" customHeight="1">
      <c r="A14" s="141" t="s">
        <v>76</v>
      </c>
      <c r="B14" s="180" t="s">
        <v>36</v>
      </c>
      <c r="C14" s="183" t="s">
        <v>67</v>
      </c>
      <c r="D14" s="183" t="s">
        <v>32</v>
      </c>
      <c r="E14" s="172">
        <v>487500</v>
      </c>
      <c r="F14" s="172">
        <v>54200</v>
      </c>
      <c r="G14" s="141" t="s">
        <v>37</v>
      </c>
      <c r="H14" s="141" t="s">
        <v>38</v>
      </c>
      <c r="I14" s="113" t="s">
        <v>39</v>
      </c>
      <c r="J14" s="141" t="s">
        <v>40</v>
      </c>
      <c r="K14" s="113" t="s">
        <v>297</v>
      </c>
      <c r="L14" s="114">
        <v>536844.8</v>
      </c>
      <c r="M14" s="115">
        <v>40510</v>
      </c>
      <c r="N14" s="113" t="s">
        <v>157</v>
      </c>
      <c r="O14" s="135">
        <v>0</v>
      </c>
      <c r="P14" s="135">
        <v>0</v>
      </c>
      <c r="Q14" s="141" t="s">
        <v>34</v>
      </c>
      <c r="R14" s="135">
        <f>0+0</f>
        <v>0</v>
      </c>
      <c r="S14" s="135">
        <f>0+0</f>
        <v>0</v>
      </c>
      <c r="T14" s="135">
        <f>R14+S14-S14</f>
        <v>0</v>
      </c>
      <c r="U14" s="135">
        <f>100702.03+T14</f>
        <v>100702.03</v>
      </c>
      <c r="V14" s="141" t="s">
        <v>95</v>
      </c>
    </row>
    <row r="15" spans="1:22" s="2" customFormat="1" ht="90" customHeight="1">
      <c r="A15" s="141" t="s">
        <v>122</v>
      </c>
      <c r="B15" s="181"/>
      <c r="C15" s="184"/>
      <c r="D15" s="184"/>
      <c r="E15" s="173"/>
      <c r="F15" s="173"/>
      <c r="G15" s="141" t="s">
        <v>117</v>
      </c>
      <c r="H15" s="141" t="s">
        <v>118</v>
      </c>
      <c r="I15" s="113" t="s">
        <v>121</v>
      </c>
      <c r="J15" s="79">
        <v>42748</v>
      </c>
      <c r="K15" s="113" t="s">
        <v>267</v>
      </c>
      <c r="L15" s="114">
        <v>329712.56</v>
      </c>
      <c r="M15" s="141" t="s">
        <v>45</v>
      </c>
      <c r="N15" s="141" t="s">
        <v>45</v>
      </c>
      <c r="O15" s="135">
        <v>0</v>
      </c>
      <c r="P15" s="135">
        <v>0</v>
      </c>
      <c r="Q15" s="141" t="s">
        <v>34</v>
      </c>
      <c r="R15" s="135">
        <f>0+0</f>
        <v>0</v>
      </c>
      <c r="S15" s="135">
        <f aca="true" t="shared" si="0" ref="S15:S78">0+0</f>
        <v>0</v>
      </c>
      <c r="T15" s="135">
        <f aca="true" t="shared" si="1" ref="T15:T81">R15+S15-S15</f>
        <v>0</v>
      </c>
      <c r="U15" s="135">
        <f>0+T15</f>
        <v>0</v>
      </c>
      <c r="V15" s="141" t="s">
        <v>124</v>
      </c>
    </row>
    <row r="16" spans="1:22" s="2" customFormat="1" ht="90" customHeight="1">
      <c r="A16" s="141" t="s">
        <v>123</v>
      </c>
      <c r="B16" s="181"/>
      <c r="C16" s="184"/>
      <c r="D16" s="184"/>
      <c r="E16" s="173"/>
      <c r="F16" s="173"/>
      <c r="G16" s="141" t="s">
        <v>119</v>
      </c>
      <c r="H16" s="141" t="s">
        <v>239</v>
      </c>
      <c r="I16" s="39" t="s">
        <v>140</v>
      </c>
      <c r="J16" s="38">
        <v>43612</v>
      </c>
      <c r="K16" s="113" t="s">
        <v>297</v>
      </c>
      <c r="L16" s="114">
        <v>367624.69</v>
      </c>
      <c r="M16" s="38">
        <v>43796</v>
      </c>
      <c r="N16" s="113" t="s">
        <v>287</v>
      </c>
      <c r="O16" s="135">
        <v>0</v>
      </c>
      <c r="P16" s="135">
        <v>0</v>
      </c>
      <c r="Q16" s="141" t="s">
        <v>34</v>
      </c>
      <c r="R16" s="135">
        <v>0</v>
      </c>
      <c r="S16" s="135">
        <f t="shared" si="0"/>
        <v>0</v>
      </c>
      <c r="T16" s="135">
        <f t="shared" si="1"/>
        <v>0</v>
      </c>
      <c r="U16" s="135">
        <f>0+80715.03+15186.93+T16</f>
        <v>95901.95999999999</v>
      </c>
      <c r="V16" s="141" t="s">
        <v>382</v>
      </c>
    </row>
    <row r="17" spans="1:22" s="2" customFormat="1" ht="90" customHeight="1">
      <c r="A17" s="141" t="s">
        <v>383</v>
      </c>
      <c r="B17" s="182"/>
      <c r="C17" s="185"/>
      <c r="D17" s="185"/>
      <c r="E17" s="174"/>
      <c r="F17" s="174"/>
      <c r="G17" s="141" t="s">
        <v>384</v>
      </c>
      <c r="H17" s="141" t="s">
        <v>385</v>
      </c>
      <c r="I17" s="39" t="s">
        <v>386</v>
      </c>
      <c r="J17" s="38">
        <v>36707</v>
      </c>
      <c r="K17" s="113" t="s">
        <v>297</v>
      </c>
      <c r="L17" s="114">
        <f>313561.5+1917.06</f>
        <v>315478.56</v>
      </c>
      <c r="M17" s="141" t="s">
        <v>45</v>
      </c>
      <c r="N17" s="141" t="s">
        <v>387</v>
      </c>
      <c r="O17" s="135">
        <v>0</v>
      </c>
      <c r="P17" s="135">
        <v>0</v>
      </c>
      <c r="Q17" s="141" t="s">
        <v>34</v>
      </c>
      <c r="R17" s="135">
        <f>1917.06+68223.01+0</f>
        <v>70140.06999999999</v>
      </c>
      <c r="S17" s="135">
        <f>68223.01</f>
        <v>68223.01</v>
      </c>
      <c r="T17" s="135">
        <f>R17+S17-S17</f>
        <v>70140.06999999999</v>
      </c>
      <c r="U17" s="135">
        <f>0+T17</f>
        <v>70140.06999999999</v>
      </c>
      <c r="V17" s="141" t="s">
        <v>47</v>
      </c>
    </row>
    <row r="18" spans="1:22" s="2" customFormat="1" ht="90" customHeight="1">
      <c r="A18" s="141" t="s">
        <v>72</v>
      </c>
      <c r="B18" s="180" t="s">
        <v>49</v>
      </c>
      <c r="C18" s="180" t="s">
        <v>68</v>
      </c>
      <c r="D18" s="183" t="s">
        <v>32</v>
      </c>
      <c r="E18" s="172">
        <v>975000</v>
      </c>
      <c r="F18" s="172">
        <f>109999.99+123735.04</f>
        <v>233735.03</v>
      </c>
      <c r="G18" s="141" t="s">
        <v>50</v>
      </c>
      <c r="H18" s="141" t="s">
        <v>240</v>
      </c>
      <c r="I18" s="117" t="s">
        <v>51</v>
      </c>
      <c r="J18" s="115">
        <v>41450</v>
      </c>
      <c r="K18" s="113" t="s">
        <v>292</v>
      </c>
      <c r="L18" s="33">
        <v>1037686.18</v>
      </c>
      <c r="M18" s="115">
        <v>41726</v>
      </c>
      <c r="N18" s="113" t="s">
        <v>387</v>
      </c>
      <c r="O18" s="135">
        <v>0</v>
      </c>
      <c r="P18" s="135">
        <v>0</v>
      </c>
      <c r="Q18" s="141" t="s">
        <v>34</v>
      </c>
      <c r="R18" s="135">
        <f>0+0</f>
        <v>0</v>
      </c>
      <c r="S18" s="135">
        <f t="shared" si="0"/>
        <v>0</v>
      </c>
      <c r="T18" s="135">
        <f t="shared" si="1"/>
        <v>0</v>
      </c>
      <c r="U18" s="135">
        <v>421246.26</v>
      </c>
      <c r="V18" s="141" t="s">
        <v>95</v>
      </c>
    </row>
    <row r="19" spans="1:22" s="2" customFormat="1" ht="90" customHeight="1">
      <c r="A19" s="141" t="s">
        <v>94</v>
      </c>
      <c r="B19" s="182"/>
      <c r="C19" s="182"/>
      <c r="D19" s="185"/>
      <c r="E19" s="174"/>
      <c r="F19" s="174"/>
      <c r="G19" s="141" t="s">
        <v>92</v>
      </c>
      <c r="H19" s="141" t="s">
        <v>91</v>
      </c>
      <c r="I19" s="117" t="s">
        <v>93</v>
      </c>
      <c r="J19" s="115">
        <v>42964</v>
      </c>
      <c r="K19" s="113" t="s">
        <v>297</v>
      </c>
      <c r="L19" s="33">
        <f>540500.13</f>
        <v>540500.13</v>
      </c>
      <c r="M19" s="141" t="s">
        <v>45</v>
      </c>
      <c r="N19" s="113" t="s">
        <v>291</v>
      </c>
      <c r="O19" s="135">
        <v>123108.38</v>
      </c>
      <c r="P19" s="135">
        <v>0</v>
      </c>
      <c r="Q19" s="141" t="s">
        <v>34</v>
      </c>
      <c r="R19" s="135">
        <v>0</v>
      </c>
      <c r="S19" s="135">
        <f t="shared" si="0"/>
        <v>0</v>
      </c>
      <c r="T19" s="135">
        <f t="shared" si="1"/>
        <v>0</v>
      </c>
      <c r="U19" s="135">
        <f>19305.43+60423.3+59048.16+5258.18+18206.19+38907.49+T19</f>
        <v>201148.75</v>
      </c>
      <c r="V19" s="141" t="s">
        <v>441</v>
      </c>
    </row>
    <row r="20" spans="1:22" s="3" customFormat="1" ht="159.75" customHeight="1">
      <c r="A20" s="141" t="s">
        <v>74</v>
      </c>
      <c r="B20" s="180" t="s">
        <v>143</v>
      </c>
      <c r="C20" s="180" t="s">
        <v>63</v>
      </c>
      <c r="D20" s="180" t="s">
        <v>32</v>
      </c>
      <c r="E20" s="186">
        <v>7000000</v>
      </c>
      <c r="F20" s="186">
        <v>368421.05</v>
      </c>
      <c r="G20" s="141" t="s">
        <v>58</v>
      </c>
      <c r="H20" s="141" t="s">
        <v>238</v>
      </c>
      <c r="I20" s="113" t="s">
        <v>64</v>
      </c>
      <c r="J20" s="115">
        <v>41609</v>
      </c>
      <c r="K20" s="113" t="s">
        <v>389</v>
      </c>
      <c r="L20" s="33">
        <v>444842.4</v>
      </c>
      <c r="M20" s="115">
        <v>41831</v>
      </c>
      <c r="N20" s="113" t="s">
        <v>353</v>
      </c>
      <c r="O20" s="135">
        <f>(-1)*96726.92</f>
        <v>-96726.92</v>
      </c>
      <c r="P20" s="135">
        <v>0</v>
      </c>
      <c r="Q20" s="141" t="s">
        <v>34</v>
      </c>
      <c r="R20" s="135">
        <f>0+0</f>
        <v>0</v>
      </c>
      <c r="S20" s="135">
        <f t="shared" si="0"/>
        <v>0</v>
      </c>
      <c r="T20" s="135">
        <f t="shared" si="1"/>
        <v>0</v>
      </c>
      <c r="U20" s="135">
        <f>203162.06+1202.33+1202.33+22844.28+22844.28-1202.33-4948.34+T20</f>
        <v>245104.61</v>
      </c>
      <c r="V20" s="141" t="s">
        <v>62</v>
      </c>
    </row>
    <row r="21" spans="1:22" s="2" customFormat="1" ht="159.75" customHeight="1">
      <c r="A21" s="119" t="s">
        <v>97</v>
      </c>
      <c r="B21" s="181"/>
      <c r="C21" s="181"/>
      <c r="D21" s="181"/>
      <c r="E21" s="187"/>
      <c r="F21" s="187"/>
      <c r="G21" s="141" t="s">
        <v>69</v>
      </c>
      <c r="H21" s="141" t="s">
        <v>75</v>
      </c>
      <c r="I21" s="113" t="s">
        <v>71</v>
      </c>
      <c r="J21" s="115">
        <v>42320</v>
      </c>
      <c r="K21" s="113" t="s">
        <v>157</v>
      </c>
      <c r="L21" s="33">
        <v>1349307.39</v>
      </c>
      <c r="M21" s="115">
        <v>42989</v>
      </c>
      <c r="N21" s="113" t="s">
        <v>290</v>
      </c>
      <c r="O21" s="135">
        <v>0</v>
      </c>
      <c r="P21" s="135">
        <v>0</v>
      </c>
      <c r="Q21" s="141" t="s">
        <v>34</v>
      </c>
      <c r="R21" s="135">
        <f>0+0</f>
        <v>0</v>
      </c>
      <c r="S21" s="135">
        <f t="shared" si="0"/>
        <v>0</v>
      </c>
      <c r="T21" s="135">
        <f t="shared" si="1"/>
        <v>0</v>
      </c>
      <c r="U21" s="135">
        <f>678670.46+T21</f>
        <v>678670.46</v>
      </c>
      <c r="V21" s="141" t="s">
        <v>368</v>
      </c>
    </row>
    <row r="22" spans="1:22" s="3" customFormat="1" ht="159.75" customHeight="1">
      <c r="A22" s="141" t="s">
        <v>98</v>
      </c>
      <c r="B22" s="181"/>
      <c r="C22" s="181"/>
      <c r="D22" s="181"/>
      <c r="E22" s="187"/>
      <c r="F22" s="187"/>
      <c r="G22" s="141" t="s">
        <v>69</v>
      </c>
      <c r="H22" s="141" t="s">
        <v>96</v>
      </c>
      <c r="I22" s="113" t="s">
        <v>99</v>
      </c>
      <c r="J22" s="115">
        <v>42534</v>
      </c>
      <c r="K22" s="113" t="s">
        <v>157</v>
      </c>
      <c r="L22" s="33">
        <v>3057573.79</v>
      </c>
      <c r="M22" s="115">
        <v>43021</v>
      </c>
      <c r="N22" s="113" t="s">
        <v>267</v>
      </c>
      <c r="O22" s="135">
        <v>0</v>
      </c>
      <c r="P22" s="135">
        <v>0</v>
      </c>
      <c r="Q22" s="141" t="s">
        <v>34</v>
      </c>
      <c r="R22" s="135">
        <f>0+0</f>
        <v>0</v>
      </c>
      <c r="S22" s="135">
        <f t="shared" si="0"/>
        <v>0</v>
      </c>
      <c r="T22" s="135">
        <f t="shared" si="1"/>
        <v>0</v>
      </c>
      <c r="U22" s="135">
        <f>592409.39+T22</f>
        <v>592409.39</v>
      </c>
      <c r="V22" s="141" t="s">
        <v>368</v>
      </c>
    </row>
    <row r="23" spans="1:22" s="5" customFormat="1" ht="90" customHeight="1">
      <c r="A23" s="141" t="s">
        <v>73</v>
      </c>
      <c r="B23" s="188" t="s">
        <v>52</v>
      </c>
      <c r="C23" s="188" t="s">
        <v>53</v>
      </c>
      <c r="D23" s="188" t="s">
        <v>32</v>
      </c>
      <c r="E23" s="153">
        <v>975000</v>
      </c>
      <c r="F23" s="153">
        <v>51316</v>
      </c>
      <c r="G23" s="141" t="s">
        <v>48</v>
      </c>
      <c r="H23" s="141" t="s">
        <v>241</v>
      </c>
      <c r="I23" s="141" t="s">
        <v>59</v>
      </c>
      <c r="J23" s="79">
        <v>41214</v>
      </c>
      <c r="K23" s="141" t="s">
        <v>56</v>
      </c>
      <c r="L23" s="114">
        <v>706503.28</v>
      </c>
      <c r="M23" s="141" t="s">
        <v>45</v>
      </c>
      <c r="N23" s="141" t="s">
        <v>45</v>
      </c>
      <c r="O23" s="135">
        <v>0</v>
      </c>
      <c r="P23" s="135">
        <v>0</v>
      </c>
      <c r="Q23" s="141" t="s">
        <v>34</v>
      </c>
      <c r="R23" s="135">
        <f>0+0</f>
        <v>0</v>
      </c>
      <c r="S23" s="135">
        <f t="shared" si="0"/>
        <v>0</v>
      </c>
      <c r="T23" s="135">
        <f t="shared" si="1"/>
        <v>0</v>
      </c>
      <c r="U23" s="135">
        <f>99976.25+T23</f>
        <v>99976.25</v>
      </c>
      <c r="V23" s="141" t="s">
        <v>152</v>
      </c>
    </row>
    <row r="24" spans="1:22" s="5" customFormat="1" ht="90" customHeight="1">
      <c r="A24" s="141" t="s">
        <v>102</v>
      </c>
      <c r="B24" s="188"/>
      <c r="C24" s="188"/>
      <c r="D24" s="188"/>
      <c r="E24" s="153"/>
      <c r="F24" s="153"/>
      <c r="G24" s="141" t="s">
        <v>101</v>
      </c>
      <c r="H24" s="141" t="s">
        <v>100</v>
      </c>
      <c r="I24" s="141" t="s">
        <v>103</v>
      </c>
      <c r="J24" s="115">
        <v>43047</v>
      </c>
      <c r="K24" s="113" t="s">
        <v>297</v>
      </c>
      <c r="L24" s="33">
        <v>763730.87</v>
      </c>
      <c r="M24" s="79">
        <v>44474</v>
      </c>
      <c r="N24" s="113" t="s">
        <v>289</v>
      </c>
      <c r="O24" s="135">
        <f>(-1)*11728.62</f>
        <v>-11728.62</v>
      </c>
      <c r="P24" s="135">
        <v>0</v>
      </c>
      <c r="Q24" s="141" t="s">
        <v>34</v>
      </c>
      <c r="R24" s="135">
        <f>0</f>
        <v>0</v>
      </c>
      <c r="S24" s="135">
        <f t="shared" si="0"/>
        <v>0</v>
      </c>
      <c r="T24" s="135">
        <f t="shared" si="1"/>
        <v>0</v>
      </c>
      <c r="U24" s="135">
        <f>0+338333.55+142221.8+44362.37+21020.4+T24</f>
        <v>545938.12</v>
      </c>
      <c r="V24" s="141" t="s">
        <v>62</v>
      </c>
    </row>
    <row r="25" spans="1:22" s="5" customFormat="1" ht="90" customHeight="1">
      <c r="A25" s="141" t="s">
        <v>77</v>
      </c>
      <c r="B25" s="180" t="s">
        <v>54</v>
      </c>
      <c r="C25" s="180" t="s">
        <v>55</v>
      </c>
      <c r="D25" s="180" t="s">
        <v>32</v>
      </c>
      <c r="E25" s="163">
        <v>1950000</v>
      </c>
      <c r="F25" s="163">
        <f>102634.58+318254.97</f>
        <v>420889.55</v>
      </c>
      <c r="G25" s="141" t="s">
        <v>48</v>
      </c>
      <c r="H25" s="141" t="s">
        <v>241</v>
      </c>
      <c r="I25" s="141" t="s">
        <v>59</v>
      </c>
      <c r="J25" s="79">
        <v>41540</v>
      </c>
      <c r="K25" s="141" t="s">
        <v>57</v>
      </c>
      <c r="L25" s="114">
        <v>1772830.04</v>
      </c>
      <c r="M25" s="141" t="s">
        <v>45</v>
      </c>
      <c r="N25" s="141" t="s">
        <v>45</v>
      </c>
      <c r="O25" s="135">
        <v>0</v>
      </c>
      <c r="P25" s="135">
        <v>0</v>
      </c>
      <c r="Q25" s="141" t="s">
        <v>34</v>
      </c>
      <c r="R25" s="135">
        <f aca="true" t="shared" si="2" ref="R25:R33">0+0</f>
        <v>0</v>
      </c>
      <c r="S25" s="135">
        <f t="shared" si="0"/>
        <v>0</v>
      </c>
      <c r="T25" s="135">
        <f t="shared" si="1"/>
        <v>0</v>
      </c>
      <c r="U25" s="135">
        <v>16455.73</v>
      </c>
      <c r="V25" s="121" t="s">
        <v>152</v>
      </c>
    </row>
    <row r="26" spans="1:22" s="5" customFormat="1" ht="90" customHeight="1">
      <c r="A26" s="141" t="s">
        <v>102</v>
      </c>
      <c r="B26" s="182"/>
      <c r="C26" s="182"/>
      <c r="D26" s="182"/>
      <c r="E26" s="164"/>
      <c r="F26" s="164"/>
      <c r="G26" s="141" t="s">
        <v>101</v>
      </c>
      <c r="H26" s="141" t="s">
        <v>100</v>
      </c>
      <c r="I26" s="141" t="s">
        <v>103</v>
      </c>
      <c r="J26" s="115">
        <v>43047</v>
      </c>
      <c r="K26" s="113" t="s">
        <v>297</v>
      </c>
      <c r="L26" s="33">
        <v>1955399.63</v>
      </c>
      <c r="M26" s="79">
        <v>44474</v>
      </c>
      <c r="N26" s="113" t="s">
        <v>289</v>
      </c>
      <c r="O26" s="135">
        <f>148640.5+59768.85</f>
        <v>208409.35</v>
      </c>
      <c r="P26" s="135">
        <v>0</v>
      </c>
      <c r="Q26" s="141" t="s">
        <v>34</v>
      </c>
      <c r="R26" s="135">
        <f t="shared" si="2"/>
        <v>0</v>
      </c>
      <c r="S26" s="135">
        <f t="shared" si="0"/>
        <v>0</v>
      </c>
      <c r="T26" s="135">
        <f t="shared" si="1"/>
        <v>0</v>
      </c>
      <c r="U26" s="135">
        <f>0+1607777.52+376726.82+95583.42+T26</f>
        <v>2080087.76</v>
      </c>
      <c r="V26" s="141" t="s">
        <v>62</v>
      </c>
    </row>
    <row r="27" spans="1:22" s="5" customFormat="1" ht="109.5" customHeight="1">
      <c r="A27" s="141" t="s">
        <v>125</v>
      </c>
      <c r="B27" s="141" t="s">
        <v>126</v>
      </c>
      <c r="C27" s="113" t="s">
        <v>79</v>
      </c>
      <c r="D27" s="141" t="s">
        <v>32</v>
      </c>
      <c r="E27" s="135">
        <f>(3900000-3900000)+1649002.36</f>
        <v>1649002.36</v>
      </c>
      <c r="F27" s="135">
        <v>68708.43</v>
      </c>
      <c r="G27" s="141" t="s">
        <v>128</v>
      </c>
      <c r="H27" s="141" t="s">
        <v>127</v>
      </c>
      <c r="I27" s="113" t="s">
        <v>129</v>
      </c>
      <c r="J27" s="79">
        <v>43522</v>
      </c>
      <c r="K27" s="141" t="s">
        <v>390</v>
      </c>
      <c r="L27" s="114">
        <v>1201378.67</v>
      </c>
      <c r="M27" s="141" t="s">
        <v>45</v>
      </c>
      <c r="N27" s="141" t="s">
        <v>288</v>
      </c>
      <c r="O27" s="135">
        <v>0</v>
      </c>
      <c r="P27" s="135">
        <v>0</v>
      </c>
      <c r="Q27" s="141" t="s">
        <v>34</v>
      </c>
      <c r="R27" s="135">
        <f t="shared" si="2"/>
        <v>0</v>
      </c>
      <c r="S27" s="135">
        <f t="shared" si="0"/>
        <v>0</v>
      </c>
      <c r="T27" s="135">
        <f t="shared" si="1"/>
        <v>0</v>
      </c>
      <c r="U27" s="135">
        <f>0+277629.18+244951.85+T27</f>
        <v>522581.03</v>
      </c>
      <c r="V27" s="141" t="s">
        <v>391</v>
      </c>
    </row>
    <row r="28" spans="1:22" s="5" customFormat="1" ht="150" customHeight="1">
      <c r="A28" s="141" t="s">
        <v>131</v>
      </c>
      <c r="B28" s="138" t="s">
        <v>130</v>
      </c>
      <c r="C28" s="138" t="s">
        <v>80</v>
      </c>
      <c r="D28" s="138" t="s">
        <v>32</v>
      </c>
      <c r="E28" s="118">
        <v>975000</v>
      </c>
      <c r="F28" s="118">
        <f>25000+168604.09</f>
        <v>193604.09</v>
      </c>
      <c r="G28" s="141" t="s">
        <v>107</v>
      </c>
      <c r="H28" s="141" t="s">
        <v>81</v>
      </c>
      <c r="I28" s="141" t="s">
        <v>82</v>
      </c>
      <c r="J28" s="79">
        <v>42626</v>
      </c>
      <c r="K28" s="141" t="s">
        <v>157</v>
      </c>
      <c r="L28" s="114">
        <v>771650.5</v>
      </c>
      <c r="M28" s="79">
        <v>43462</v>
      </c>
      <c r="N28" s="141" t="s">
        <v>287</v>
      </c>
      <c r="O28" s="135">
        <v>153719.86</v>
      </c>
      <c r="P28" s="135">
        <v>0</v>
      </c>
      <c r="Q28" s="141" t="s">
        <v>34</v>
      </c>
      <c r="R28" s="135">
        <f t="shared" si="2"/>
        <v>0</v>
      </c>
      <c r="S28" s="135">
        <f t="shared" si="0"/>
        <v>0</v>
      </c>
      <c r="T28" s="135">
        <f t="shared" si="1"/>
        <v>0</v>
      </c>
      <c r="U28" s="135">
        <f>377295.64+0+T28</f>
        <v>377295.64</v>
      </c>
      <c r="V28" s="141" t="s">
        <v>392</v>
      </c>
    </row>
    <row r="29" spans="1:22" s="5" customFormat="1" ht="90" customHeight="1">
      <c r="A29" s="141" t="s">
        <v>104</v>
      </c>
      <c r="B29" s="180" t="s">
        <v>133</v>
      </c>
      <c r="C29" s="183" t="s">
        <v>83</v>
      </c>
      <c r="D29" s="180" t="s">
        <v>32</v>
      </c>
      <c r="E29" s="172">
        <v>243750</v>
      </c>
      <c r="F29" s="172">
        <v>6250</v>
      </c>
      <c r="G29" s="141" t="s">
        <v>106</v>
      </c>
      <c r="H29" s="141" t="s">
        <v>105</v>
      </c>
      <c r="I29" s="141" t="s">
        <v>108</v>
      </c>
      <c r="J29" s="79">
        <v>42914</v>
      </c>
      <c r="K29" s="141" t="s">
        <v>353</v>
      </c>
      <c r="L29" s="114">
        <v>235896.03</v>
      </c>
      <c r="M29" s="79">
        <v>43006</v>
      </c>
      <c r="N29" s="141" t="s">
        <v>286</v>
      </c>
      <c r="O29" s="135">
        <v>0</v>
      </c>
      <c r="P29" s="135">
        <v>0</v>
      </c>
      <c r="Q29" s="141" t="s">
        <v>34</v>
      </c>
      <c r="R29" s="135">
        <f t="shared" si="2"/>
        <v>0</v>
      </c>
      <c r="S29" s="135">
        <f t="shared" si="0"/>
        <v>0</v>
      </c>
      <c r="T29" s="135">
        <f t="shared" si="1"/>
        <v>0</v>
      </c>
      <c r="U29" s="135">
        <f>117543.66+37823.35+26813.29+T29</f>
        <v>182180.30000000002</v>
      </c>
      <c r="V29" s="141" t="s">
        <v>152</v>
      </c>
    </row>
    <row r="30" spans="1:22" s="5" customFormat="1" ht="90" customHeight="1">
      <c r="A30" s="141" t="s">
        <v>199</v>
      </c>
      <c r="B30" s="182"/>
      <c r="C30" s="185"/>
      <c r="D30" s="182"/>
      <c r="E30" s="174"/>
      <c r="F30" s="174"/>
      <c r="G30" s="141" t="s">
        <v>196</v>
      </c>
      <c r="H30" s="141" t="s">
        <v>197</v>
      </c>
      <c r="I30" s="141" t="s">
        <v>198</v>
      </c>
      <c r="J30" s="79">
        <v>44091</v>
      </c>
      <c r="K30" s="141" t="s">
        <v>353</v>
      </c>
      <c r="L30" s="114">
        <v>55367.31</v>
      </c>
      <c r="M30" s="79">
        <v>44509</v>
      </c>
      <c r="N30" s="113" t="s">
        <v>33</v>
      </c>
      <c r="O30" s="135">
        <v>0</v>
      </c>
      <c r="P30" s="135">
        <v>0</v>
      </c>
      <c r="Q30" s="141" t="s">
        <v>34</v>
      </c>
      <c r="R30" s="135">
        <f t="shared" si="2"/>
        <v>0</v>
      </c>
      <c r="S30" s="135">
        <f t="shared" si="0"/>
        <v>0</v>
      </c>
      <c r="T30" s="135">
        <f t="shared" si="1"/>
        <v>0</v>
      </c>
      <c r="U30" s="135">
        <f>24703.48+T30</f>
        <v>24703.48</v>
      </c>
      <c r="V30" s="141" t="s">
        <v>62</v>
      </c>
    </row>
    <row r="31" spans="1:22" s="5" customFormat="1" ht="129.75" customHeight="1">
      <c r="A31" s="141" t="s">
        <v>135</v>
      </c>
      <c r="B31" s="138" t="s">
        <v>134</v>
      </c>
      <c r="C31" s="138" t="s">
        <v>85</v>
      </c>
      <c r="D31" s="138" t="s">
        <v>32</v>
      </c>
      <c r="E31" s="118">
        <v>585000</v>
      </c>
      <c r="F31" s="118">
        <v>15000</v>
      </c>
      <c r="G31" s="141" t="s">
        <v>86</v>
      </c>
      <c r="H31" s="141" t="s">
        <v>87</v>
      </c>
      <c r="I31" s="141" t="s">
        <v>88</v>
      </c>
      <c r="J31" s="79">
        <v>42414</v>
      </c>
      <c r="K31" s="141" t="s">
        <v>157</v>
      </c>
      <c r="L31" s="114">
        <v>590411.32</v>
      </c>
      <c r="M31" s="79">
        <v>43526</v>
      </c>
      <c r="N31" s="141" t="s">
        <v>206</v>
      </c>
      <c r="O31" s="135">
        <v>0</v>
      </c>
      <c r="P31" s="135">
        <v>0</v>
      </c>
      <c r="Q31" s="141" t="s">
        <v>34</v>
      </c>
      <c r="R31" s="135">
        <f t="shared" si="2"/>
        <v>0</v>
      </c>
      <c r="S31" s="135">
        <f t="shared" si="0"/>
        <v>0</v>
      </c>
      <c r="T31" s="135">
        <f t="shared" si="1"/>
        <v>0</v>
      </c>
      <c r="U31" s="135">
        <f>262625.98+T31</f>
        <v>262625.98</v>
      </c>
      <c r="V31" s="141" t="s">
        <v>369</v>
      </c>
    </row>
    <row r="32" spans="1:22" s="5" customFormat="1" ht="159.75" customHeight="1">
      <c r="A32" s="141" t="s">
        <v>114</v>
      </c>
      <c r="B32" s="141" t="s">
        <v>136</v>
      </c>
      <c r="C32" s="113" t="s">
        <v>89</v>
      </c>
      <c r="D32" s="141" t="s">
        <v>32</v>
      </c>
      <c r="E32" s="135">
        <v>243750</v>
      </c>
      <c r="F32" s="135">
        <v>6250</v>
      </c>
      <c r="G32" s="141" t="s">
        <v>112</v>
      </c>
      <c r="H32" s="141" t="s">
        <v>111</v>
      </c>
      <c r="I32" s="141" t="s">
        <v>113</v>
      </c>
      <c r="J32" s="79">
        <v>43024</v>
      </c>
      <c r="K32" s="141" t="s">
        <v>353</v>
      </c>
      <c r="L32" s="114">
        <v>238420.69</v>
      </c>
      <c r="M32" s="79">
        <v>43754</v>
      </c>
      <c r="N32" s="141" t="s">
        <v>393</v>
      </c>
      <c r="O32" s="135">
        <v>0</v>
      </c>
      <c r="P32" s="135">
        <v>0</v>
      </c>
      <c r="Q32" s="141" t="s">
        <v>34</v>
      </c>
      <c r="R32" s="135">
        <f t="shared" si="2"/>
        <v>0</v>
      </c>
      <c r="S32" s="135">
        <f t="shared" si="0"/>
        <v>0</v>
      </c>
      <c r="T32" s="135">
        <f t="shared" si="1"/>
        <v>0</v>
      </c>
      <c r="U32" s="135">
        <f>0+105716.39+T32</f>
        <v>105716.39</v>
      </c>
      <c r="V32" s="141" t="s">
        <v>442</v>
      </c>
    </row>
    <row r="33" spans="1:22" s="5" customFormat="1" ht="120" customHeight="1">
      <c r="A33" s="141" t="s">
        <v>116</v>
      </c>
      <c r="B33" s="180" t="s">
        <v>138</v>
      </c>
      <c r="C33" s="180" t="s">
        <v>90</v>
      </c>
      <c r="D33" s="180" t="s">
        <v>32</v>
      </c>
      <c r="E33" s="186">
        <v>1066939.58</v>
      </c>
      <c r="F33" s="186">
        <v>1070</v>
      </c>
      <c r="G33" s="141" t="s">
        <v>109</v>
      </c>
      <c r="H33" s="141" t="s">
        <v>115</v>
      </c>
      <c r="I33" s="141" t="s">
        <v>137</v>
      </c>
      <c r="J33" s="79">
        <v>43228</v>
      </c>
      <c r="K33" s="141" t="s">
        <v>297</v>
      </c>
      <c r="L33" s="114">
        <v>1045240.18</v>
      </c>
      <c r="M33" s="79">
        <v>43777</v>
      </c>
      <c r="N33" s="113" t="s">
        <v>33</v>
      </c>
      <c r="O33" s="135">
        <v>0</v>
      </c>
      <c r="P33" s="135">
        <v>0</v>
      </c>
      <c r="Q33" s="141" t="s">
        <v>34</v>
      </c>
      <c r="R33" s="135">
        <f t="shared" si="2"/>
        <v>0</v>
      </c>
      <c r="S33" s="135">
        <f t="shared" si="0"/>
        <v>0</v>
      </c>
      <c r="T33" s="135">
        <f t="shared" si="1"/>
        <v>0</v>
      </c>
      <c r="U33" s="135">
        <f>0+34803.14+81054.93+T33</f>
        <v>115858.06999999999</v>
      </c>
      <c r="V33" s="141" t="s">
        <v>394</v>
      </c>
    </row>
    <row r="34" spans="1:22" s="5" customFormat="1" ht="120" customHeight="1">
      <c r="A34" s="141" t="s">
        <v>426</v>
      </c>
      <c r="B34" s="182"/>
      <c r="C34" s="182"/>
      <c r="D34" s="182"/>
      <c r="E34" s="189"/>
      <c r="F34" s="189"/>
      <c r="G34" s="141" t="s">
        <v>427</v>
      </c>
      <c r="H34" s="141" t="s">
        <v>428</v>
      </c>
      <c r="I34" s="141" t="s">
        <v>429</v>
      </c>
      <c r="J34" s="79">
        <v>44748</v>
      </c>
      <c r="K34" s="141" t="s">
        <v>157</v>
      </c>
      <c r="L34" s="114">
        <f>795526.47+4170.84+0</f>
        <v>799697.3099999999</v>
      </c>
      <c r="M34" s="141" t="s">
        <v>45</v>
      </c>
      <c r="N34" s="141" t="s">
        <v>387</v>
      </c>
      <c r="O34" s="135">
        <v>0</v>
      </c>
      <c r="P34" s="135">
        <v>0</v>
      </c>
      <c r="Q34" s="141" t="s">
        <v>34</v>
      </c>
      <c r="R34" s="135">
        <f>0+0</f>
        <v>0</v>
      </c>
      <c r="S34" s="135">
        <f t="shared" si="0"/>
        <v>0</v>
      </c>
      <c r="T34" s="135">
        <f>R34+S34-S34</f>
        <v>0</v>
      </c>
      <c r="U34" s="135">
        <f>0+T34</f>
        <v>0</v>
      </c>
      <c r="V34" s="141" t="s">
        <v>47</v>
      </c>
    </row>
    <row r="35" spans="1:22" s="5" customFormat="1" ht="90" customHeight="1">
      <c r="A35" s="34" t="s">
        <v>395</v>
      </c>
      <c r="B35" s="131" t="s">
        <v>396</v>
      </c>
      <c r="C35" s="37" t="s">
        <v>397</v>
      </c>
      <c r="D35" s="134" t="s">
        <v>32</v>
      </c>
      <c r="E35" s="135">
        <v>564124.28</v>
      </c>
      <c r="F35" s="135">
        <v>1200</v>
      </c>
      <c r="G35" s="134" t="s">
        <v>128</v>
      </c>
      <c r="H35" s="134" t="s">
        <v>127</v>
      </c>
      <c r="I35" s="134" t="s">
        <v>398</v>
      </c>
      <c r="J35" s="30">
        <v>43276</v>
      </c>
      <c r="K35" s="134" t="s">
        <v>44</v>
      </c>
      <c r="L35" s="28">
        <v>361197.82</v>
      </c>
      <c r="M35" s="30">
        <v>44355</v>
      </c>
      <c r="N35" s="37" t="s">
        <v>399</v>
      </c>
      <c r="O35" s="135">
        <v>0</v>
      </c>
      <c r="P35" s="135">
        <v>0</v>
      </c>
      <c r="Q35" s="134">
        <v>44.9</v>
      </c>
      <c r="R35" s="135">
        <v>0</v>
      </c>
      <c r="S35" s="135">
        <f t="shared" si="0"/>
        <v>0</v>
      </c>
      <c r="T35" s="135">
        <f>R35-S35+S35</f>
        <v>0</v>
      </c>
      <c r="U35" s="135">
        <f>0+282039.72+78316.56+T35</f>
        <v>360356.27999999997</v>
      </c>
      <c r="V35" s="141" t="s">
        <v>62</v>
      </c>
    </row>
    <row r="36" spans="1:22" s="5" customFormat="1" ht="159.75" customHeight="1">
      <c r="A36" s="123" t="s">
        <v>231</v>
      </c>
      <c r="B36" s="138" t="s">
        <v>226</v>
      </c>
      <c r="C36" s="113" t="s">
        <v>227</v>
      </c>
      <c r="D36" s="141" t="s">
        <v>32</v>
      </c>
      <c r="E36" s="135">
        <f>911877.39-73178.97</f>
        <v>838698.42</v>
      </c>
      <c r="F36" s="135">
        <v>1344.07</v>
      </c>
      <c r="G36" s="141" t="s">
        <v>228</v>
      </c>
      <c r="H36" s="141" t="s">
        <v>237</v>
      </c>
      <c r="I36" s="141" t="s">
        <v>229</v>
      </c>
      <c r="J36" s="79">
        <v>44436</v>
      </c>
      <c r="K36" s="141" t="s">
        <v>353</v>
      </c>
      <c r="L36" s="114">
        <v>699980.75</v>
      </c>
      <c r="M36" s="141" t="s">
        <v>45</v>
      </c>
      <c r="N36" s="113" t="s">
        <v>443</v>
      </c>
      <c r="O36" s="135">
        <v>166870.39</v>
      </c>
      <c r="P36" s="135">
        <v>0</v>
      </c>
      <c r="Q36" s="141" t="s">
        <v>230</v>
      </c>
      <c r="R36" s="135">
        <f>22637.71+18047.36+122832.61+24819.18+98217.65+0</f>
        <v>286554.51</v>
      </c>
      <c r="S36" s="135">
        <f>24819.18+98217.65+0</f>
        <v>123036.82999999999</v>
      </c>
      <c r="T36" s="135">
        <f t="shared" si="1"/>
        <v>286554.51</v>
      </c>
      <c r="U36" s="135">
        <f>0+T36</f>
        <v>286554.51</v>
      </c>
      <c r="V36" s="141" t="s">
        <v>47</v>
      </c>
    </row>
    <row r="37" spans="1:22" ht="140.25" customHeight="1">
      <c r="A37" s="123" t="s">
        <v>430</v>
      </c>
      <c r="B37" s="138" t="s">
        <v>207</v>
      </c>
      <c r="C37" s="113" t="s">
        <v>208</v>
      </c>
      <c r="D37" s="141" t="s">
        <v>32</v>
      </c>
      <c r="E37" s="135">
        <v>349671.39</v>
      </c>
      <c r="F37" s="135">
        <v>490.23</v>
      </c>
      <c r="G37" s="141" t="s">
        <v>84</v>
      </c>
      <c r="H37" s="141" t="s">
        <v>209</v>
      </c>
      <c r="I37" s="141" t="s">
        <v>210</v>
      </c>
      <c r="J37" s="79">
        <v>43888</v>
      </c>
      <c r="K37" s="141" t="s">
        <v>297</v>
      </c>
      <c r="L37" s="114">
        <v>308102.5</v>
      </c>
      <c r="M37" s="79">
        <v>44279</v>
      </c>
      <c r="N37" s="141" t="s">
        <v>184</v>
      </c>
      <c r="O37" s="135">
        <v>0</v>
      </c>
      <c r="P37" s="135">
        <v>0</v>
      </c>
      <c r="Q37" s="141">
        <v>44.9</v>
      </c>
      <c r="R37" s="135">
        <f>0+0</f>
        <v>0</v>
      </c>
      <c r="S37" s="135">
        <f t="shared" si="0"/>
        <v>0</v>
      </c>
      <c r="T37" s="135">
        <f t="shared" si="1"/>
        <v>0</v>
      </c>
      <c r="U37" s="135">
        <f>0+T37</f>
        <v>0</v>
      </c>
      <c r="V37" s="141" t="s">
        <v>378</v>
      </c>
    </row>
    <row r="38" spans="1:22" ht="180" customHeight="1">
      <c r="A38" s="141" t="s">
        <v>190</v>
      </c>
      <c r="B38" s="141" t="s">
        <v>191</v>
      </c>
      <c r="C38" s="141" t="s">
        <v>60</v>
      </c>
      <c r="D38" s="141" t="s">
        <v>60</v>
      </c>
      <c r="E38" s="135" t="s">
        <v>60</v>
      </c>
      <c r="F38" s="135">
        <v>232571.71</v>
      </c>
      <c r="G38" s="141" t="s">
        <v>192</v>
      </c>
      <c r="H38" s="141" t="s">
        <v>236</v>
      </c>
      <c r="I38" s="141" t="s">
        <v>193</v>
      </c>
      <c r="J38" s="79">
        <v>43777</v>
      </c>
      <c r="K38" s="141" t="s">
        <v>157</v>
      </c>
      <c r="L38" s="114">
        <v>232571.71</v>
      </c>
      <c r="M38" s="79">
        <v>44546</v>
      </c>
      <c r="N38" s="113" t="s">
        <v>287</v>
      </c>
      <c r="O38" s="135">
        <v>0</v>
      </c>
      <c r="P38" s="135">
        <v>0</v>
      </c>
      <c r="Q38" s="141">
        <v>44.9</v>
      </c>
      <c r="R38" s="135">
        <f>0+0</f>
        <v>0</v>
      </c>
      <c r="S38" s="135">
        <f t="shared" si="0"/>
        <v>0</v>
      </c>
      <c r="T38" s="135">
        <f t="shared" si="1"/>
        <v>0</v>
      </c>
      <c r="U38" s="135">
        <f>0+182041.88+29981.22+T38</f>
        <v>212023.1</v>
      </c>
      <c r="V38" s="141" t="s">
        <v>62</v>
      </c>
    </row>
    <row r="39" spans="1:22" ht="180" customHeight="1">
      <c r="A39" s="141" t="s">
        <v>242</v>
      </c>
      <c r="B39" s="138" t="s">
        <v>233</v>
      </c>
      <c r="C39" s="141" t="s">
        <v>60</v>
      </c>
      <c r="D39" s="141" t="s">
        <v>60</v>
      </c>
      <c r="E39" s="135" t="s">
        <v>60</v>
      </c>
      <c r="F39" s="132">
        <v>34606.51</v>
      </c>
      <c r="G39" s="141" t="s">
        <v>234</v>
      </c>
      <c r="H39" s="141" t="s">
        <v>235</v>
      </c>
      <c r="I39" s="141" t="s">
        <v>243</v>
      </c>
      <c r="J39" s="79">
        <v>44412</v>
      </c>
      <c r="K39" s="141" t="s">
        <v>157</v>
      </c>
      <c r="L39" s="114">
        <v>31902.26</v>
      </c>
      <c r="M39" s="79">
        <v>44742</v>
      </c>
      <c r="N39" s="113" t="s">
        <v>389</v>
      </c>
      <c r="O39" s="135">
        <v>0</v>
      </c>
      <c r="P39" s="73">
        <v>0</v>
      </c>
      <c r="Q39" s="124" t="s">
        <v>230</v>
      </c>
      <c r="R39" s="135">
        <f>14356.02+9570.68+0</f>
        <v>23926.7</v>
      </c>
      <c r="S39" s="135">
        <f t="shared" si="0"/>
        <v>0</v>
      </c>
      <c r="T39" s="135">
        <f t="shared" si="1"/>
        <v>23926.7</v>
      </c>
      <c r="U39" s="135">
        <f>7975.56+T39</f>
        <v>31902.260000000002</v>
      </c>
      <c r="V39" s="139" t="s">
        <v>62</v>
      </c>
    </row>
    <row r="40" spans="1:22" ht="146.25" customHeight="1">
      <c r="A40" s="141" t="s">
        <v>245</v>
      </c>
      <c r="B40" s="138" t="s">
        <v>244</v>
      </c>
      <c r="C40" s="141" t="s">
        <v>60</v>
      </c>
      <c r="D40" s="141" t="s">
        <v>60</v>
      </c>
      <c r="E40" s="135" t="s">
        <v>60</v>
      </c>
      <c r="F40" s="132">
        <v>1470596.55</v>
      </c>
      <c r="G40" s="141" t="s">
        <v>246</v>
      </c>
      <c r="H40" s="141" t="s">
        <v>247</v>
      </c>
      <c r="I40" s="141" t="s">
        <v>248</v>
      </c>
      <c r="J40" s="79">
        <v>44491</v>
      </c>
      <c r="K40" s="141" t="s">
        <v>389</v>
      </c>
      <c r="L40" s="114">
        <v>1301520.64</v>
      </c>
      <c r="M40" s="141" t="s">
        <v>45</v>
      </c>
      <c r="N40" s="141" t="s">
        <v>297</v>
      </c>
      <c r="O40" s="135">
        <v>58331.44</v>
      </c>
      <c r="P40" s="73">
        <v>0</v>
      </c>
      <c r="Q40" s="124" t="s">
        <v>230</v>
      </c>
      <c r="R40" s="135">
        <f>28181.87+46061.83+73673.36+115976.84+47565.747+90392.28+65583.13+0</f>
        <v>467435.05700000003</v>
      </c>
      <c r="S40" s="135">
        <f>90392.28+65583.13+0</f>
        <v>155975.41</v>
      </c>
      <c r="T40" s="135">
        <f t="shared" si="1"/>
        <v>467435.05700000003</v>
      </c>
      <c r="U40" s="135">
        <f>0+T40</f>
        <v>467435.05700000003</v>
      </c>
      <c r="V40" s="139" t="s">
        <v>47</v>
      </c>
    </row>
    <row r="41" spans="1:22" ht="120" customHeight="1">
      <c r="A41" s="141" t="s">
        <v>250</v>
      </c>
      <c r="B41" s="138" t="s">
        <v>249</v>
      </c>
      <c r="C41" s="141" t="s">
        <v>60</v>
      </c>
      <c r="D41" s="141" t="s">
        <v>60</v>
      </c>
      <c r="E41" s="135" t="s">
        <v>60</v>
      </c>
      <c r="F41" s="132">
        <v>368030.01</v>
      </c>
      <c r="G41" s="141" t="s">
        <v>251</v>
      </c>
      <c r="H41" s="141" t="s">
        <v>252</v>
      </c>
      <c r="I41" s="141" t="s">
        <v>253</v>
      </c>
      <c r="J41" s="79">
        <v>44495</v>
      </c>
      <c r="K41" s="141" t="s">
        <v>157</v>
      </c>
      <c r="L41" s="114">
        <v>365478.68</v>
      </c>
      <c r="M41" s="141" t="s">
        <v>45</v>
      </c>
      <c r="N41" s="141" t="s">
        <v>33</v>
      </c>
      <c r="O41" s="135">
        <v>0</v>
      </c>
      <c r="P41" s="73">
        <v>0</v>
      </c>
      <c r="Q41" s="124" t="s">
        <v>230</v>
      </c>
      <c r="R41" s="135">
        <f>68623.54+54303.93+170272.56+0</f>
        <v>293200.03</v>
      </c>
      <c r="S41" s="135">
        <f t="shared" si="0"/>
        <v>0</v>
      </c>
      <c r="T41" s="135">
        <f t="shared" si="1"/>
        <v>293200.03</v>
      </c>
      <c r="U41" s="135">
        <f aca="true" t="shared" si="3" ref="U41:U61">0+T41</f>
        <v>293200.03</v>
      </c>
      <c r="V41" s="139" t="s">
        <v>62</v>
      </c>
    </row>
    <row r="42" spans="1:22" ht="120" customHeight="1">
      <c r="A42" s="141" t="s">
        <v>255</v>
      </c>
      <c r="B42" s="138" t="s">
        <v>254</v>
      </c>
      <c r="C42" s="141" t="s">
        <v>60</v>
      </c>
      <c r="D42" s="141" t="s">
        <v>60</v>
      </c>
      <c r="E42" s="135" t="s">
        <v>60</v>
      </c>
      <c r="F42" s="132">
        <v>502288.69</v>
      </c>
      <c r="G42" s="141" t="s">
        <v>251</v>
      </c>
      <c r="H42" s="141" t="s">
        <v>252</v>
      </c>
      <c r="I42" s="141" t="s">
        <v>256</v>
      </c>
      <c r="J42" s="79">
        <v>44495</v>
      </c>
      <c r="K42" s="141" t="s">
        <v>353</v>
      </c>
      <c r="L42" s="114">
        <v>501252.74</v>
      </c>
      <c r="M42" s="141" t="s">
        <v>45</v>
      </c>
      <c r="N42" s="141" t="s">
        <v>267</v>
      </c>
      <c r="O42" s="135">
        <v>0</v>
      </c>
      <c r="P42" s="73">
        <v>0</v>
      </c>
      <c r="Q42" s="124" t="s">
        <v>230</v>
      </c>
      <c r="R42" s="135">
        <f>47081.28+45097.35+157427.07+47433.44+0</f>
        <v>297039.14</v>
      </c>
      <c r="S42" s="135">
        <f t="shared" si="0"/>
        <v>0</v>
      </c>
      <c r="T42" s="135">
        <f t="shared" si="1"/>
        <v>297039.14</v>
      </c>
      <c r="U42" s="135">
        <f t="shared" si="3"/>
        <v>297039.14</v>
      </c>
      <c r="V42" s="139" t="s">
        <v>47</v>
      </c>
    </row>
    <row r="43" spans="1:22" ht="120" customHeight="1">
      <c r="A43" s="141" t="s">
        <v>258</v>
      </c>
      <c r="B43" s="138" t="s">
        <v>257</v>
      </c>
      <c r="C43" s="141" t="s">
        <v>60</v>
      </c>
      <c r="D43" s="141" t="s">
        <v>60</v>
      </c>
      <c r="E43" s="135" t="s">
        <v>60</v>
      </c>
      <c r="F43" s="132">
        <v>594475.67</v>
      </c>
      <c r="G43" s="141" t="s">
        <v>251</v>
      </c>
      <c r="H43" s="141" t="s">
        <v>252</v>
      </c>
      <c r="I43" s="141" t="s">
        <v>403</v>
      </c>
      <c r="J43" s="79">
        <v>44495</v>
      </c>
      <c r="K43" s="141" t="s">
        <v>297</v>
      </c>
      <c r="L43" s="114">
        <v>522215.01</v>
      </c>
      <c r="M43" s="141" t="s">
        <v>45</v>
      </c>
      <c r="N43" s="141" t="s">
        <v>157</v>
      </c>
      <c r="O43" s="135">
        <v>0</v>
      </c>
      <c r="P43" s="73">
        <v>0</v>
      </c>
      <c r="Q43" s="124" t="s">
        <v>230</v>
      </c>
      <c r="R43" s="135">
        <f>105441.96+121912.02+85403.98+175322.51+16267.34+0</f>
        <v>504347.81000000006</v>
      </c>
      <c r="S43" s="135">
        <f>16267.34+0</f>
        <v>16267.34</v>
      </c>
      <c r="T43" s="135">
        <f t="shared" si="1"/>
        <v>504347.81000000006</v>
      </c>
      <c r="U43" s="135">
        <f t="shared" si="3"/>
        <v>504347.81000000006</v>
      </c>
      <c r="V43" s="139" t="s">
        <v>62</v>
      </c>
    </row>
    <row r="44" spans="1:22" ht="120" customHeight="1">
      <c r="A44" s="141" t="s">
        <v>261</v>
      </c>
      <c r="B44" s="138" t="s">
        <v>260</v>
      </c>
      <c r="C44" s="141" t="s">
        <v>60</v>
      </c>
      <c r="D44" s="141" t="s">
        <v>60</v>
      </c>
      <c r="E44" s="135" t="s">
        <v>60</v>
      </c>
      <c r="F44" s="132">
        <v>415898.33</v>
      </c>
      <c r="G44" s="141" t="s">
        <v>262</v>
      </c>
      <c r="H44" s="141" t="s">
        <v>263</v>
      </c>
      <c r="I44" s="141" t="s">
        <v>404</v>
      </c>
      <c r="J44" s="79">
        <v>44504</v>
      </c>
      <c r="K44" s="141" t="s">
        <v>157</v>
      </c>
      <c r="L44" s="114">
        <v>319460.48</v>
      </c>
      <c r="M44" s="141" t="s">
        <v>45</v>
      </c>
      <c r="N44" s="141" t="s">
        <v>297</v>
      </c>
      <c r="O44" s="135">
        <v>0</v>
      </c>
      <c r="P44" s="73">
        <v>0</v>
      </c>
      <c r="Q44" s="124" t="s">
        <v>230</v>
      </c>
      <c r="R44" s="135">
        <f>29555.24+0</f>
        <v>29555.24</v>
      </c>
      <c r="S44" s="135">
        <f t="shared" si="0"/>
        <v>0</v>
      </c>
      <c r="T44" s="135">
        <f t="shared" si="1"/>
        <v>29555.24</v>
      </c>
      <c r="U44" s="135">
        <f t="shared" si="3"/>
        <v>29555.24</v>
      </c>
      <c r="V44" s="139" t="s">
        <v>47</v>
      </c>
    </row>
    <row r="45" spans="1:22" ht="120" customHeight="1">
      <c r="A45" s="141" t="s">
        <v>309</v>
      </c>
      <c r="B45" s="138" t="s">
        <v>265</v>
      </c>
      <c r="C45" s="141" t="s">
        <v>60</v>
      </c>
      <c r="D45" s="141" t="s">
        <v>60</v>
      </c>
      <c r="E45" s="135" t="s">
        <v>60</v>
      </c>
      <c r="F45" s="132">
        <v>1045219.51</v>
      </c>
      <c r="G45" s="141" t="s">
        <v>272</v>
      </c>
      <c r="H45" s="141" t="s">
        <v>252</v>
      </c>
      <c r="I45" s="141" t="s">
        <v>266</v>
      </c>
      <c r="J45" s="79">
        <v>44552</v>
      </c>
      <c r="K45" s="141" t="s">
        <v>267</v>
      </c>
      <c r="L45" s="114">
        <v>1044946.8</v>
      </c>
      <c r="M45" s="141" t="s">
        <v>45</v>
      </c>
      <c r="N45" s="141" t="s">
        <v>390</v>
      </c>
      <c r="O45" s="135">
        <v>0</v>
      </c>
      <c r="P45" s="73">
        <v>0</v>
      </c>
      <c r="Q45" s="124" t="s">
        <v>230</v>
      </c>
      <c r="R45" s="135">
        <f>212431.44+148384.37+274130.47+0</f>
        <v>634946.28</v>
      </c>
      <c r="S45" s="135">
        <f>148384.37+274130.47+0</f>
        <v>422514.83999999997</v>
      </c>
      <c r="T45" s="135">
        <f t="shared" si="1"/>
        <v>634946.2800000001</v>
      </c>
      <c r="U45" s="135">
        <f t="shared" si="3"/>
        <v>634946.2800000001</v>
      </c>
      <c r="V45" s="139" t="s">
        <v>405</v>
      </c>
    </row>
    <row r="46" spans="1:22" ht="120" customHeight="1">
      <c r="A46" s="141" t="s">
        <v>308</v>
      </c>
      <c r="B46" s="138" t="s">
        <v>310</v>
      </c>
      <c r="C46" s="141" t="s">
        <v>60</v>
      </c>
      <c r="D46" s="141" t="s">
        <v>60</v>
      </c>
      <c r="E46" s="135" t="s">
        <v>60</v>
      </c>
      <c r="F46" s="132">
        <v>362619.2</v>
      </c>
      <c r="G46" s="141" t="s">
        <v>311</v>
      </c>
      <c r="H46" s="141" t="s">
        <v>263</v>
      </c>
      <c r="I46" s="141" t="s">
        <v>312</v>
      </c>
      <c r="J46" s="79">
        <v>44532</v>
      </c>
      <c r="K46" s="141" t="s">
        <v>157</v>
      </c>
      <c r="L46" s="125">
        <v>301011.62</v>
      </c>
      <c r="M46" s="141" t="s">
        <v>45</v>
      </c>
      <c r="N46" s="141" t="s">
        <v>387</v>
      </c>
      <c r="O46" s="135">
        <v>0</v>
      </c>
      <c r="P46" s="73">
        <v>0</v>
      </c>
      <c r="Q46" s="124" t="s">
        <v>230</v>
      </c>
      <c r="R46" s="135">
        <f>45219.46+0</f>
        <v>45219.46</v>
      </c>
      <c r="S46" s="135">
        <f t="shared" si="0"/>
        <v>0</v>
      </c>
      <c r="T46" s="135">
        <f t="shared" si="1"/>
        <v>45219.46</v>
      </c>
      <c r="U46" s="135">
        <f t="shared" si="3"/>
        <v>45219.46</v>
      </c>
      <c r="V46" s="139" t="s">
        <v>47</v>
      </c>
    </row>
    <row r="47" spans="1:22" ht="120" customHeight="1">
      <c r="A47" s="141" t="s">
        <v>303</v>
      </c>
      <c r="B47" s="138" t="s">
        <v>352</v>
      </c>
      <c r="C47" s="141" t="s">
        <v>60</v>
      </c>
      <c r="D47" s="141" t="s">
        <v>60</v>
      </c>
      <c r="E47" s="135" t="s">
        <v>60</v>
      </c>
      <c r="F47" s="132">
        <v>639279.1</v>
      </c>
      <c r="G47" s="141" t="s">
        <v>192</v>
      </c>
      <c r="H47" s="141" t="s">
        <v>304</v>
      </c>
      <c r="I47" s="141" t="s">
        <v>305</v>
      </c>
      <c r="J47" s="79">
        <v>44532</v>
      </c>
      <c r="K47" s="141" t="s">
        <v>267</v>
      </c>
      <c r="L47" s="132">
        <v>639279.1</v>
      </c>
      <c r="M47" s="141" t="s">
        <v>45</v>
      </c>
      <c r="N47" s="141" t="s">
        <v>353</v>
      </c>
      <c r="O47" s="135">
        <v>0</v>
      </c>
      <c r="P47" s="73">
        <v>0</v>
      </c>
      <c r="Q47" s="124" t="s">
        <v>230</v>
      </c>
      <c r="R47" s="135">
        <f>66759.42+63308.45+0</f>
        <v>130067.87</v>
      </c>
      <c r="S47" s="135">
        <f t="shared" si="0"/>
        <v>0</v>
      </c>
      <c r="T47" s="135">
        <f t="shared" si="1"/>
        <v>130067.87</v>
      </c>
      <c r="U47" s="135">
        <f t="shared" si="3"/>
        <v>130067.87</v>
      </c>
      <c r="V47" s="139" t="s">
        <v>47</v>
      </c>
    </row>
    <row r="48" spans="1:22" ht="120" customHeight="1">
      <c r="A48" s="141" t="s">
        <v>314</v>
      </c>
      <c r="B48" s="138" t="s">
        <v>313</v>
      </c>
      <c r="C48" s="141" t="s">
        <v>60</v>
      </c>
      <c r="D48" s="141" t="s">
        <v>60</v>
      </c>
      <c r="E48" s="135" t="s">
        <v>60</v>
      </c>
      <c r="F48" s="132">
        <v>1530436.21</v>
      </c>
      <c r="G48" s="141" t="s">
        <v>315</v>
      </c>
      <c r="H48" s="141" t="s">
        <v>316</v>
      </c>
      <c r="I48" s="141" t="s">
        <v>317</v>
      </c>
      <c r="J48" s="79">
        <v>44601</v>
      </c>
      <c r="K48" s="141" t="s">
        <v>299</v>
      </c>
      <c r="L48" s="132">
        <v>1400203.12</v>
      </c>
      <c r="M48" s="141" t="s">
        <v>45</v>
      </c>
      <c r="N48" s="141" t="s">
        <v>45</v>
      </c>
      <c r="O48" s="135">
        <v>0</v>
      </c>
      <c r="P48" s="73">
        <v>0</v>
      </c>
      <c r="Q48" s="124" t="s">
        <v>230</v>
      </c>
      <c r="R48" s="135">
        <f>0+0</f>
        <v>0</v>
      </c>
      <c r="S48" s="135">
        <f t="shared" si="0"/>
        <v>0</v>
      </c>
      <c r="T48" s="135">
        <f t="shared" si="1"/>
        <v>0</v>
      </c>
      <c r="U48" s="135">
        <f t="shared" si="3"/>
        <v>0</v>
      </c>
      <c r="V48" s="139" t="s">
        <v>378</v>
      </c>
    </row>
    <row r="49" spans="1:22" ht="120" customHeight="1">
      <c r="A49" s="141" t="s">
        <v>318</v>
      </c>
      <c r="B49" s="138" t="s">
        <v>319</v>
      </c>
      <c r="C49" s="141" t="s">
        <v>60</v>
      </c>
      <c r="D49" s="141" t="s">
        <v>60</v>
      </c>
      <c r="E49" s="135" t="s">
        <v>60</v>
      </c>
      <c r="F49" s="132">
        <v>384866.7</v>
      </c>
      <c r="G49" s="141" t="s">
        <v>272</v>
      </c>
      <c r="H49" s="141" t="s">
        <v>252</v>
      </c>
      <c r="I49" s="141" t="s">
        <v>320</v>
      </c>
      <c r="J49" s="79">
        <v>44607</v>
      </c>
      <c r="K49" s="141" t="s">
        <v>297</v>
      </c>
      <c r="L49" s="132">
        <v>382671.77</v>
      </c>
      <c r="M49" s="141" t="s">
        <v>45</v>
      </c>
      <c r="N49" s="141" t="s">
        <v>157</v>
      </c>
      <c r="O49" s="135">
        <v>0</v>
      </c>
      <c r="P49" s="73">
        <v>0</v>
      </c>
      <c r="Q49" s="124" t="s">
        <v>230</v>
      </c>
      <c r="R49" s="135">
        <f>0+0</f>
        <v>0</v>
      </c>
      <c r="S49" s="135">
        <f t="shared" si="0"/>
        <v>0</v>
      </c>
      <c r="T49" s="135">
        <f t="shared" si="1"/>
        <v>0</v>
      </c>
      <c r="U49" s="135">
        <f t="shared" si="3"/>
        <v>0</v>
      </c>
      <c r="V49" s="139" t="s">
        <v>405</v>
      </c>
    </row>
    <row r="50" spans="1:22" ht="120" customHeight="1">
      <c r="A50" s="141" t="s">
        <v>322</v>
      </c>
      <c r="B50" s="138" t="s">
        <v>321</v>
      </c>
      <c r="C50" s="141" t="s">
        <v>60</v>
      </c>
      <c r="D50" s="141" t="s">
        <v>60</v>
      </c>
      <c r="E50" s="135" t="s">
        <v>60</v>
      </c>
      <c r="F50" s="132">
        <v>347191.64</v>
      </c>
      <c r="G50" s="141" t="s">
        <v>251</v>
      </c>
      <c r="H50" s="141" t="s">
        <v>252</v>
      </c>
      <c r="I50" s="141" t="s">
        <v>323</v>
      </c>
      <c r="J50" s="79">
        <v>44607</v>
      </c>
      <c r="K50" s="141" t="s">
        <v>297</v>
      </c>
      <c r="L50" s="132">
        <v>343747.86</v>
      </c>
      <c r="M50" s="141" t="s">
        <v>45</v>
      </c>
      <c r="N50" s="141" t="s">
        <v>157</v>
      </c>
      <c r="O50" s="135">
        <v>0</v>
      </c>
      <c r="P50" s="73">
        <v>0</v>
      </c>
      <c r="Q50" s="124" t="s">
        <v>230</v>
      </c>
      <c r="R50" s="135">
        <f>105198.77+88823.1+0</f>
        <v>194021.87</v>
      </c>
      <c r="S50" s="135">
        <f>88823.1+0</f>
        <v>88823.1</v>
      </c>
      <c r="T50" s="135">
        <f t="shared" si="1"/>
        <v>194021.86999999997</v>
      </c>
      <c r="U50" s="135">
        <f t="shared" si="3"/>
        <v>194021.86999999997</v>
      </c>
      <c r="V50" s="139" t="s">
        <v>47</v>
      </c>
    </row>
    <row r="51" spans="1:22" ht="120" customHeight="1">
      <c r="A51" s="141" t="s">
        <v>324</v>
      </c>
      <c r="B51" s="138" t="s">
        <v>325</v>
      </c>
      <c r="C51" s="141" t="s">
        <v>60</v>
      </c>
      <c r="D51" s="141" t="s">
        <v>60</v>
      </c>
      <c r="E51" s="135" t="s">
        <v>60</v>
      </c>
      <c r="F51" s="132">
        <v>95907.67</v>
      </c>
      <c r="G51" s="141" t="s">
        <v>272</v>
      </c>
      <c r="H51" s="141" t="s">
        <v>252</v>
      </c>
      <c r="I51" s="141" t="s">
        <v>326</v>
      </c>
      <c r="J51" s="79">
        <v>44607</v>
      </c>
      <c r="K51" s="141" t="s">
        <v>297</v>
      </c>
      <c r="L51" s="132">
        <v>95891.53</v>
      </c>
      <c r="M51" s="141" t="s">
        <v>45</v>
      </c>
      <c r="N51" s="141" t="s">
        <v>402</v>
      </c>
      <c r="O51" s="135">
        <v>0</v>
      </c>
      <c r="P51" s="73">
        <v>0</v>
      </c>
      <c r="Q51" s="124" t="s">
        <v>230</v>
      </c>
      <c r="R51" s="135">
        <f>15704.38+80187.2+0</f>
        <v>95891.58</v>
      </c>
      <c r="S51" s="135">
        <f t="shared" si="0"/>
        <v>0</v>
      </c>
      <c r="T51" s="135">
        <f t="shared" si="1"/>
        <v>95891.58</v>
      </c>
      <c r="U51" s="135">
        <f t="shared" si="3"/>
        <v>95891.58</v>
      </c>
      <c r="V51" s="139" t="s">
        <v>62</v>
      </c>
    </row>
    <row r="52" spans="1:22" ht="159.75" customHeight="1">
      <c r="A52" s="141" t="s">
        <v>327</v>
      </c>
      <c r="B52" s="138" t="s">
        <v>328</v>
      </c>
      <c r="C52" s="141" t="s">
        <v>60</v>
      </c>
      <c r="D52" s="141" t="s">
        <v>60</v>
      </c>
      <c r="E52" s="135" t="s">
        <v>60</v>
      </c>
      <c r="F52" s="132">
        <v>410706.05</v>
      </c>
      <c r="G52" s="141" t="s">
        <v>272</v>
      </c>
      <c r="H52" s="141" t="s">
        <v>252</v>
      </c>
      <c r="I52" s="141" t="s">
        <v>329</v>
      </c>
      <c r="J52" s="79">
        <v>44607</v>
      </c>
      <c r="K52" s="141" t="s">
        <v>157</v>
      </c>
      <c r="L52" s="132">
        <v>406597.28</v>
      </c>
      <c r="M52" s="141" t="s">
        <v>45</v>
      </c>
      <c r="N52" s="141" t="s">
        <v>297</v>
      </c>
      <c r="O52" s="135">
        <v>0</v>
      </c>
      <c r="P52" s="73">
        <v>0</v>
      </c>
      <c r="Q52" s="124" t="s">
        <v>230</v>
      </c>
      <c r="R52" s="135">
        <f>100062.22+80991.96+26874.1+0</f>
        <v>207928.28</v>
      </c>
      <c r="S52" s="135">
        <f>80991.96+26874.1+0</f>
        <v>107866.06</v>
      </c>
      <c r="T52" s="135">
        <f t="shared" si="1"/>
        <v>207928.27999999997</v>
      </c>
      <c r="U52" s="135">
        <f t="shared" si="3"/>
        <v>207928.27999999997</v>
      </c>
      <c r="V52" s="139" t="s">
        <v>47</v>
      </c>
    </row>
    <row r="53" spans="1:22" ht="132.75" customHeight="1">
      <c r="A53" s="141" t="s">
        <v>330</v>
      </c>
      <c r="B53" s="138" t="s">
        <v>331</v>
      </c>
      <c r="C53" s="141" t="s">
        <v>60</v>
      </c>
      <c r="D53" s="141" t="s">
        <v>60</v>
      </c>
      <c r="E53" s="135" t="s">
        <v>60</v>
      </c>
      <c r="F53" s="132">
        <v>1148246.58</v>
      </c>
      <c r="G53" s="141" t="s">
        <v>332</v>
      </c>
      <c r="H53" s="141" t="s">
        <v>333</v>
      </c>
      <c r="I53" s="141" t="s">
        <v>334</v>
      </c>
      <c r="J53" s="79">
        <v>44613</v>
      </c>
      <c r="K53" s="141" t="s">
        <v>297</v>
      </c>
      <c r="L53" s="132">
        <v>1021763.32</v>
      </c>
      <c r="M53" s="141" t="s">
        <v>45</v>
      </c>
      <c r="N53" s="141" t="s">
        <v>157</v>
      </c>
      <c r="O53" s="135">
        <v>0</v>
      </c>
      <c r="P53" s="73">
        <v>0</v>
      </c>
      <c r="Q53" s="124" t="s">
        <v>230</v>
      </c>
      <c r="R53" s="135">
        <f>224891.56+153848.53+210820.14+0</f>
        <v>589560.23</v>
      </c>
      <c r="S53" s="135">
        <f>210820.14+0</f>
        <v>210820.14</v>
      </c>
      <c r="T53" s="135">
        <f t="shared" si="1"/>
        <v>589560.23</v>
      </c>
      <c r="U53" s="135">
        <f t="shared" si="3"/>
        <v>589560.23</v>
      </c>
      <c r="V53" s="139" t="s">
        <v>47</v>
      </c>
    </row>
    <row r="54" spans="1:22" ht="120" customHeight="1">
      <c r="A54" s="141" t="s">
        <v>335</v>
      </c>
      <c r="B54" s="138" t="s">
        <v>336</v>
      </c>
      <c r="C54" s="141" t="s">
        <v>60</v>
      </c>
      <c r="D54" s="141" t="s">
        <v>60</v>
      </c>
      <c r="E54" s="135" t="s">
        <v>60</v>
      </c>
      <c r="F54" s="132">
        <v>598260.62</v>
      </c>
      <c r="G54" s="141" t="s">
        <v>272</v>
      </c>
      <c r="H54" s="141" t="s">
        <v>252</v>
      </c>
      <c r="I54" s="141" t="s">
        <v>337</v>
      </c>
      <c r="J54" s="79">
        <v>44620</v>
      </c>
      <c r="K54" s="141" t="s">
        <v>157</v>
      </c>
      <c r="L54" s="132">
        <v>525028.3</v>
      </c>
      <c r="M54" s="141" t="s">
        <v>45</v>
      </c>
      <c r="N54" s="141" t="s">
        <v>390</v>
      </c>
      <c r="O54" s="135">
        <v>131181.51</v>
      </c>
      <c r="P54" s="73">
        <v>0</v>
      </c>
      <c r="Q54" s="124" t="s">
        <v>230</v>
      </c>
      <c r="R54" s="135">
        <f>100093.59+67848.67+176881.47+256079.19+0</f>
        <v>600902.9199999999</v>
      </c>
      <c r="S54" s="135">
        <f>176881.47+256079.19+0</f>
        <v>432960.66000000003</v>
      </c>
      <c r="T54" s="135">
        <f t="shared" si="1"/>
        <v>600902.9199999999</v>
      </c>
      <c r="U54" s="135">
        <f t="shared" si="3"/>
        <v>600902.9199999999</v>
      </c>
      <c r="V54" s="139" t="s">
        <v>47</v>
      </c>
    </row>
    <row r="55" spans="1:22" ht="120" customHeight="1">
      <c r="A55" s="141" t="s">
        <v>346</v>
      </c>
      <c r="B55" s="138" t="s">
        <v>347</v>
      </c>
      <c r="C55" s="141" t="s">
        <v>60</v>
      </c>
      <c r="D55" s="141" t="s">
        <v>60</v>
      </c>
      <c r="E55" s="135" t="s">
        <v>60</v>
      </c>
      <c r="F55" s="132">
        <v>450550.68</v>
      </c>
      <c r="G55" s="141" t="s">
        <v>348</v>
      </c>
      <c r="H55" s="141" t="s">
        <v>349</v>
      </c>
      <c r="I55" s="141" t="s">
        <v>350</v>
      </c>
      <c r="J55" s="79">
        <v>44624</v>
      </c>
      <c r="K55" s="141" t="s">
        <v>353</v>
      </c>
      <c r="L55" s="132">
        <v>419017.65</v>
      </c>
      <c r="M55" s="141" t="s">
        <v>45</v>
      </c>
      <c r="N55" s="141" t="s">
        <v>353</v>
      </c>
      <c r="O55" s="135">
        <v>0</v>
      </c>
      <c r="P55" s="73">
        <v>0</v>
      </c>
      <c r="Q55" s="124" t="s">
        <v>230</v>
      </c>
      <c r="R55" s="135">
        <f>0+0</f>
        <v>0</v>
      </c>
      <c r="S55" s="135">
        <f t="shared" si="0"/>
        <v>0</v>
      </c>
      <c r="T55" s="135">
        <f t="shared" si="1"/>
        <v>0</v>
      </c>
      <c r="U55" s="135">
        <f t="shared" si="3"/>
        <v>0</v>
      </c>
      <c r="V55" s="139" t="s">
        <v>444</v>
      </c>
    </row>
    <row r="56" spans="1:22" ht="120" customHeight="1">
      <c r="A56" s="141" t="s">
        <v>338</v>
      </c>
      <c r="B56" s="138" t="s">
        <v>339</v>
      </c>
      <c r="C56" s="141" t="s">
        <v>60</v>
      </c>
      <c r="D56" s="141" t="s">
        <v>60</v>
      </c>
      <c r="E56" s="135" t="s">
        <v>60</v>
      </c>
      <c r="F56" s="132">
        <v>541168.18</v>
      </c>
      <c r="G56" s="141" t="s">
        <v>272</v>
      </c>
      <c r="H56" s="141" t="s">
        <v>252</v>
      </c>
      <c r="I56" s="141" t="s">
        <v>340</v>
      </c>
      <c r="J56" s="79">
        <v>44624</v>
      </c>
      <c r="K56" s="141" t="s">
        <v>157</v>
      </c>
      <c r="L56" s="132">
        <v>435036.98</v>
      </c>
      <c r="M56" s="141" t="s">
        <v>45</v>
      </c>
      <c r="N56" s="141" t="s">
        <v>297</v>
      </c>
      <c r="O56" s="135">
        <v>0</v>
      </c>
      <c r="P56" s="73">
        <v>0</v>
      </c>
      <c r="Q56" s="124" t="s">
        <v>230</v>
      </c>
      <c r="R56" s="135">
        <f>67186.8+59186.07+186497.51+57874.45+53692.7+0</f>
        <v>424437.53</v>
      </c>
      <c r="S56" s="135">
        <f>57874.45+53692.7+0</f>
        <v>111567.15</v>
      </c>
      <c r="T56" s="135">
        <f t="shared" si="1"/>
        <v>424437.53</v>
      </c>
      <c r="U56" s="135">
        <f t="shared" si="3"/>
        <v>424437.53</v>
      </c>
      <c r="V56" s="139" t="s">
        <v>47</v>
      </c>
    </row>
    <row r="57" spans="1:22" ht="120" customHeight="1">
      <c r="A57" s="141" t="s">
        <v>341</v>
      </c>
      <c r="B57" s="138" t="s">
        <v>342</v>
      </c>
      <c r="C57" s="141" t="s">
        <v>60</v>
      </c>
      <c r="D57" s="141" t="s">
        <v>60</v>
      </c>
      <c r="E57" s="135" t="s">
        <v>60</v>
      </c>
      <c r="F57" s="132">
        <v>388727.63</v>
      </c>
      <c r="G57" s="141" t="s">
        <v>272</v>
      </c>
      <c r="H57" s="141" t="s">
        <v>252</v>
      </c>
      <c r="I57" s="141" t="s">
        <v>343</v>
      </c>
      <c r="J57" s="79">
        <v>44628</v>
      </c>
      <c r="K57" s="141" t="s">
        <v>157</v>
      </c>
      <c r="L57" s="132">
        <v>386740.27</v>
      </c>
      <c r="M57" s="141" t="s">
        <v>45</v>
      </c>
      <c r="N57" s="141" t="s">
        <v>297</v>
      </c>
      <c r="O57" s="135">
        <v>0</v>
      </c>
      <c r="P57" s="73">
        <v>0</v>
      </c>
      <c r="Q57" s="124" t="s">
        <v>230</v>
      </c>
      <c r="R57" s="135">
        <f>62114.84+0</f>
        <v>62114.84</v>
      </c>
      <c r="S57" s="135">
        <f t="shared" si="0"/>
        <v>0</v>
      </c>
      <c r="T57" s="135">
        <f t="shared" si="1"/>
        <v>62114.84</v>
      </c>
      <c r="U57" s="135">
        <f t="shared" si="3"/>
        <v>62114.84</v>
      </c>
      <c r="V57" s="139" t="s">
        <v>47</v>
      </c>
    </row>
    <row r="58" spans="1:22" ht="159.75" customHeight="1">
      <c r="A58" s="141" t="s">
        <v>345</v>
      </c>
      <c r="B58" s="138" t="s">
        <v>344</v>
      </c>
      <c r="C58" s="141" t="s">
        <v>60</v>
      </c>
      <c r="D58" s="141" t="s">
        <v>60</v>
      </c>
      <c r="E58" s="135" t="s">
        <v>60</v>
      </c>
      <c r="F58" s="132">
        <v>241468.99</v>
      </c>
      <c r="G58" s="141" t="s">
        <v>272</v>
      </c>
      <c r="H58" s="141" t="s">
        <v>252</v>
      </c>
      <c r="I58" s="126" t="s">
        <v>351</v>
      </c>
      <c r="J58" s="79">
        <v>44628</v>
      </c>
      <c r="K58" s="141" t="s">
        <v>354</v>
      </c>
      <c r="L58" s="132">
        <v>230615.62</v>
      </c>
      <c r="M58" s="141" t="s">
        <v>45</v>
      </c>
      <c r="N58" s="141" t="s">
        <v>390</v>
      </c>
      <c r="O58" s="135">
        <v>0</v>
      </c>
      <c r="P58" s="73">
        <v>0</v>
      </c>
      <c r="Q58" s="124" t="s">
        <v>230</v>
      </c>
      <c r="R58" s="135">
        <f>70198.06+97705.52+50146.58+0</f>
        <v>218050.16000000003</v>
      </c>
      <c r="S58" s="135">
        <f>50146.58+0</f>
        <v>50146.58</v>
      </c>
      <c r="T58" s="135">
        <f t="shared" si="1"/>
        <v>218050.16000000003</v>
      </c>
      <c r="U58" s="135">
        <f t="shared" si="3"/>
        <v>218050.16000000003</v>
      </c>
      <c r="V58" s="139" t="s">
        <v>62</v>
      </c>
    </row>
    <row r="59" spans="1:22" ht="131.25" customHeight="1">
      <c r="A59" s="141" t="s">
        <v>359</v>
      </c>
      <c r="B59" s="138" t="s">
        <v>355</v>
      </c>
      <c r="C59" s="141" t="s">
        <v>60</v>
      </c>
      <c r="D59" s="141" t="s">
        <v>60</v>
      </c>
      <c r="E59" s="135" t="s">
        <v>60</v>
      </c>
      <c r="F59" s="132">
        <v>4767726.9</v>
      </c>
      <c r="G59" s="141" t="s">
        <v>356</v>
      </c>
      <c r="H59" s="141" t="s">
        <v>357</v>
      </c>
      <c r="I59" s="126" t="s">
        <v>358</v>
      </c>
      <c r="J59" s="79">
        <v>44644</v>
      </c>
      <c r="K59" s="141" t="s">
        <v>299</v>
      </c>
      <c r="L59" s="132">
        <v>3857267.94</v>
      </c>
      <c r="M59" s="141" t="s">
        <v>45</v>
      </c>
      <c r="N59" s="141" t="s">
        <v>45</v>
      </c>
      <c r="O59" s="135">
        <v>0</v>
      </c>
      <c r="P59" s="73">
        <v>0</v>
      </c>
      <c r="Q59" s="124" t="s">
        <v>230</v>
      </c>
      <c r="R59" s="135">
        <f>56829.82+141269.78+79363.93+71135.5+45258.65+102354.37+0</f>
        <v>496212.05000000005</v>
      </c>
      <c r="S59" s="135">
        <f>71135.5+45258.65+102354.37+0</f>
        <v>218748.52</v>
      </c>
      <c r="T59" s="135">
        <f t="shared" si="1"/>
        <v>496212.05000000005</v>
      </c>
      <c r="U59" s="135">
        <f t="shared" si="3"/>
        <v>496212.05000000005</v>
      </c>
      <c r="V59" s="139" t="s">
        <v>47</v>
      </c>
    </row>
    <row r="60" spans="1:22" ht="120" customHeight="1">
      <c r="A60" s="141" t="s">
        <v>360</v>
      </c>
      <c r="B60" s="138" t="s">
        <v>361</v>
      </c>
      <c r="C60" s="141" t="s">
        <v>60</v>
      </c>
      <c r="D60" s="141" t="s">
        <v>60</v>
      </c>
      <c r="E60" s="135" t="s">
        <v>60</v>
      </c>
      <c r="F60" s="132">
        <v>316297.71</v>
      </c>
      <c r="G60" s="141" t="s">
        <v>362</v>
      </c>
      <c r="H60" s="141" t="s">
        <v>349</v>
      </c>
      <c r="I60" s="126" t="s">
        <v>363</v>
      </c>
      <c r="J60" s="79">
        <v>44648</v>
      </c>
      <c r="K60" s="141" t="s">
        <v>157</v>
      </c>
      <c r="L60" s="132">
        <v>306310.46</v>
      </c>
      <c r="M60" s="141" t="s">
        <v>45</v>
      </c>
      <c r="N60" s="141" t="s">
        <v>45</v>
      </c>
      <c r="O60" s="135">
        <v>12840.17</v>
      </c>
      <c r="P60" s="73">
        <v>0</v>
      </c>
      <c r="Q60" s="124" t="s">
        <v>230</v>
      </c>
      <c r="R60" s="135">
        <f>42829.77+128318.88+99639.49+0</f>
        <v>270788.14</v>
      </c>
      <c r="S60" s="135">
        <f>99639.49+0</f>
        <v>99639.49</v>
      </c>
      <c r="T60" s="135">
        <f t="shared" si="1"/>
        <v>270788.14</v>
      </c>
      <c r="U60" s="135">
        <f t="shared" si="3"/>
        <v>270788.14</v>
      </c>
      <c r="V60" s="139" t="s">
        <v>62</v>
      </c>
    </row>
    <row r="61" spans="1:22" ht="120" customHeight="1">
      <c r="A61" s="141" t="s">
        <v>365</v>
      </c>
      <c r="B61" s="138" t="s">
        <v>364</v>
      </c>
      <c r="C61" s="141" t="s">
        <v>60</v>
      </c>
      <c r="D61" s="141" t="s">
        <v>60</v>
      </c>
      <c r="E61" s="135" t="s">
        <v>60</v>
      </c>
      <c r="F61" s="132">
        <v>388727.63</v>
      </c>
      <c r="G61" s="141" t="s">
        <v>272</v>
      </c>
      <c r="H61" s="141" t="s">
        <v>252</v>
      </c>
      <c r="I61" s="126" t="s">
        <v>407</v>
      </c>
      <c r="J61" s="79">
        <v>44648</v>
      </c>
      <c r="K61" s="141" t="s">
        <v>157</v>
      </c>
      <c r="L61" s="132">
        <v>386740.27</v>
      </c>
      <c r="M61" s="141" t="s">
        <v>45</v>
      </c>
      <c r="N61" s="141" t="s">
        <v>297</v>
      </c>
      <c r="O61" s="135">
        <v>0</v>
      </c>
      <c r="P61" s="73">
        <v>0</v>
      </c>
      <c r="Q61" s="124" t="s">
        <v>230</v>
      </c>
      <c r="R61" s="135">
        <f>60917.61+35747.7+0</f>
        <v>96665.31</v>
      </c>
      <c r="S61" s="135">
        <f t="shared" si="0"/>
        <v>0</v>
      </c>
      <c r="T61" s="135">
        <f t="shared" si="1"/>
        <v>96665.31</v>
      </c>
      <c r="U61" s="135">
        <f t="shared" si="3"/>
        <v>96665.31</v>
      </c>
      <c r="V61" s="139" t="s">
        <v>47</v>
      </c>
    </row>
    <row r="62" spans="1:22" ht="120" customHeight="1">
      <c r="A62" s="141" t="s">
        <v>408</v>
      </c>
      <c r="B62" s="138" t="s">
        <v>409</v>
      </c>
      <c r="C62" s="141" t="s">
        <v>60</v>
      </c>
      <c r="D62" s="141" t="s">
        <v>60</v>
      </c>
      <c r="E62" s="135" t="s">
        <v>60</v>
      </c>
      <c r="F62" s="132">
        <v>283614.82</v>
      </c>
      <c r="G62" s="141" t="s">
        <v>410</v>
      </c>
      <c r="H62" s="141" t="s">
        <v>411</v>
      </c>
      <c r="I62" s="126" t="s">
        <v>412</v>
      </c>
      <c r="J62" s="79">
        <v>44705</v>
      </c>
      <c r="K62" s="141" t="s">
        <v>157</v>
      </c>
      <c r="L62" s="132">
        <v>276923.9</v>
      </c>
      <c r="M62" s="141" t="s">
        <v>45</v>
      </c>
      <c r="N62" s="141" t="s">
        <v>387</v>
      </c>
      <c r="O62" s="135">
        <v>0</v>
      </c>
      <c r="P62" s="73">
        <v>0</v>
      </c>
      <c r="Q62" s="124" t="s">
        <v>230</v>
      </c>
      <c r="R62" s="135">
        <f>121052.03+100440.18+54451.32+0</f>
        <v>275943.52999999997</v>
      </c>
      <c r="S62" s="135">
        <f>121052.03+100440.18+54451.32+0</f>
        <v>275943.52999999997</v>
      </c>
      <c r="T62" s="135">
        <f t="shared" si="1"/>
        <v>275943.52999999997</v>
      </c>
      <c r="U62" s="135">
        <f>0+T62</f>
        <v>275943.52999999997</v>
      </c>
      <c r="V62" s="139" t="s">
        <v>62</v>
      </c>
    </row>
    <row r="63" spans="1:22" s="13" customFormat="1" ht="90" customHeight="1">
      <c r="A63" s="141" t="s">
        <v>413</v>
      </c>
      <c r="B63" s="138" t="s">
        <v>414</v>
      </c>
      <c r="C63" s="141" t="s">
        <v>60</v>
      </c>
      <c r="D63" s="141" t="s">
        <v>60</v>
      </c>
      <c r="E63" s="135" t="s">
        <v>60</v>
      </c>
      <c r="F63" s="132">
        <v>523719.07</v>
      </c>
      <c r="G63" s="141" t="s">
        <v>272</v>
      </c>
      <c r="H63" s="141" t="s">
        <v>252</v>
      </c>
      <c r="I63" s="126" t="s">
        <v>415</v>
      </c>
      <c r="J63" s="79">
        <v>44742</v>
      </c>
      <c r="K63" s="141" t="s">
        <v>157</v>
      </c>
      <c r="L63" s="132">
        <v>523508.34</v>
      </c>
      <c r="M63" s="141" t="s">
        <v>45</v>
      </c>
      <c r="N63" s="141" t="s">
        <v>45</v>
      </c>
      <c r="O63" s="135">
        <v>0</v>
      </c>
      <c r="P63" s="73">
        <v>0</v>
      </c>
      <c r="Q63" s="124" t="s">
        <v>230</v>
      </c>
      <c r="R63" s="135">
        <f>31122.46+141379.79+0</f>
        <v>172502.25</v>
      </c>
      <c r="S63" s="135">
        <f>31122.46+141379.79+0</f>
        <v>172502.25</v>
      </c>
      <c r="T63" s="135">
        <f>R63+S63-S63</f>
        <v>172502.25</v>
      </c>
      <c r="U63" s="135">
        <f>0+T63</f>
        <v>172502.25</v>
      </c>
      <c r="V63" s="139" t="s">
        <v>47</v>
      </c>
    </row>
    <row r="64" spans="1:22" s="13" customFormat="1" ht="90" customHeight="1">
      <c r="A64" s="141" t="s">
        <v>431</v>
      </c>
      <c r="B64" s="138" t="s">
        <v>432</v>
      </c>
      <c r="C64" s="141" t="s">
        <v>60</v>
      </c>
      <c r="D64" s="141" t="s">
        <v>60</v>
      </c>
      <c r="E64" s="135" t="s">
        <v>60</v>
      </c>
      <c r="F64" s="132">
        <v>567426.25</v>
      </c>
      <c r="G64" s="141" t="s">
        <v>272</v>
      </c>
      <c r="H64" s="141" t="s">
        <v>252</v>
      </c>
      <c r="I64" s="126" t="s">
        <v>433</v>
      </c>
      <c r="J64" s="79">
        <v>44796</v>
      </c>
      <c r="K64" s="141" t="s">
        <v>353</v>
      </c>
      <c r="L64" s="132">
        <v>567426.25</v>
      </c>
      <c r="M64" s="141" t="s">
        <v>45</v>
      </c>
      <c r="N64" s="141" t="s">
        <v>402</v>
      </c>
      <c r="O64" s="135">
        <v>0</v>
      </c>
      <c r="P64" s="73">
        <v>0</v>
      </c>
      <c r="Q64" s="124" t="s">
        <v>230</v>
      </c>
      <c r="R64" s="135">
        <f>55307.58+0</f>
        <v>55307.58</v>
      </c>
      <c r="S64" s="135">
        <f>55307.58+0</f>
        <v>55307.58</v>
      </c>
      <c r="T64" s="135">
        <f>R64+S64-S64</f>
        <v>55307.58</v>
      </c>
      <c r="U64" s="135">
        <f>0+T64</f>
        <v>55307.58</v>
      </c>
      <c r="V64" s="139" t="s">
        <v>47</v>
      </c>
    </row>
    <row r="65" spans="1:22" s="13" customFormat="1" ht="90" customHeight="1">
      <c r="A65" s="141" t="s">
        <v>434</v>
      </c>
      <c r="B65" s="138" t="s">
        <v>435</v>
      </c>
      <c r="C65" s="141" t="s">
        <v>60</v>
      </c>
      <c r="D65" s="141" t="s">
        <v>60</v>
      </c>
      <c r="E65" s="135" t="s">
        <v>60</v>
      </c>
      <c r="F65" s="132">
        <v>445929.41</v>
      </c>
      <c r="G65" s="141" t="s">
        <v>272</v>
      </c>
      <c r="H65" s="141" t="s">
        <v>252</v>
      </c>
      <c r="I65" s="126" t="s">
        <v>436</v>
      </c>
      <c r="J65" s="79">
        <v>44832</v>
      </c>
      <c r="K65" s="141" t="s">
        <v>297</v>
      </c>
      <c r="L65" s="132">
        <v>437061.05</v>
      </c>
      <c r="M65" s="141" t="s">
        <v>45</v>
      </c>
      <c r="N65" s="141" t="s">
        <v>45</v>
      </c>
      <c r="O65" s="135">
        <v>0</v>
      </c>
      <c r="P65" s="73">
        <v>0</v>
      </c>
      <c r="Q65" s="124" t="s">
        <v>230</v>
      </c>
      <c r="R65" s="135">
        <f>75847.78+0</f>
        <v>75847.78</v>
      </c>
      <c r="S65" s="135">
        <f>75847.78+0</f>
        <v>75847.78</v>
      </c>
      <c r="T65" s="135">
        <f>R65+S65-S65</f>
        <v>75847.78</v>
      </c>
      <c r="U65" s="135">
        <f>0+T65</f>
        <v>75847.78</v>
      </c>
      <c r="V65" s="139" t="s">
        <v>47</v>
      </c>
    </row>
    <row r="66" spans="1:22" s="13" customFormat="1" ht="90" customHeight="1">
      <c r="A66" s="141" t="s">
        <v>437</v>
      </c>
      <c r="B66" s="138" t="s">
        <v>438</v>
      </c>
      <c r="C66" s="141" t="s">
        <v>60</v>
      </c>
      <c r="D66" s="141" t="s">
        <v>60</v>
      </c>
      <c r="E66" s="135" t="s">
        <v>60</v>
      </c>
      <c r="F66" s="132">
        <v>645760</v>
      </c>
      <c r="G66" s="141" t="s">
        <v>272</v>
      </c>
      <c r="H66" s="141" t="s">
        <v>252</v>
      </c>
      <c r="I66" s="126" t="s">
        <v>439</v>
      </c>
      <c r="J66" s="79">
        <v>44832</v>
      </c>
      <c r="K66" s="141" t="s">
        <v>353</v>
      </c>
      <c r="L66" s="132">
        <v>631923.33</v>
      </c>
      <c r="M66" s="141" t="s">
        <v>45</v>
      </c>
      <c r="N66" s="141" t="s">
        <v>402</v>
      </c>
      <c r="O66" s="135">
        <v>0</v>
      </c>
      <c r="P66" s="73">
        <v>0</v>
      </c>
      <c r="Q66" s="124" t="s">
        <v>230</v>
      </c>
      <c r="R66" s="135">
        <f>13963.54+0</f>
        <v>13963.54</v>
      </c>
      <c r="S66" s="135">
        <f>13963.54+0</f>
        <v>13963.54</v>
      </c>
      <c r="T66" s="135">
        <f>R66+S66-S66</f>
        <v>13963.54</v>
      </c>
      <c r="U66" s="135">
        <f>0+T66</f>
        <v>13963.54</v>
      </c>
      <c r="V66" s="139" t="s">
        <v>47</v>
      </c>
    </row>
    <row r="67" spans="1:22" s="13" customFormat="1" ht="90" customHeight="1">
      <c r="A67" s="141" t="s">
        <v>145</v>
      </c>
      <c r="B67" s="180" t="s">
        <v>146</v>
      </c>
      <c r="C67" s="183" t="s">
        <v>147</v>
      </c>
      <c r="D67" s="180" t="s">
        <v>148</v>
      </c>
      <c r="E67" s="169">
        <v>585000</v>
      </c>
      <c r="F67" s="169">
        <v>208662.28</v>
      </c>
      <c r="G67" s="141" t="s">
        <v>149</v>
      </c>
      <c r="H67" s="141" t="s">
        <v>150</v>
      </c>
      <c r="I67" s="113" t="s">
        <v>151</v>
      </c>
      <c r="J67" s="79" t="s">
        <v>61</v>
      </c>
      <c r="K67" s="79" t="s">
        <v>390</v>
      </c>
      <c r="L67" s="114">
        <v>793662.28</v>
      </c>
      <c r="M67" s="79" t="s">
        <v>61</v>
      </c>
      <c r="N67" s="141" t="s">
        <v>46</v>
      </c>
      <c r="O67" s="135">
        <v>0</v>
      </c>
      <c r="P67" s="41">
        <v>0</v>
      </c>
      <c r="Q67" s="127" t="s">
        <v>34</v>
      </c>
      <c r="R67" s="135">
        <f>0+0</f>
        <v>0</v>
      </c>
      <c r="S67" s="135">
        <f t="shared" si="0"/>
        <v>0</v>
      </c>
      <c r="T67" s="135">
        <f t="shared" si="1"/>
        <v>0</v>
      </c>
      <c r="U67" s="41">
        <f>439504.45+T67</f>
        <v>439504.45</v>
      </c>
      <c r="V67" s="57" t="s">
        <v>152</v>
      </c>
    </row>
    <row r="68" spans="1:22" s="13" customFormat="1" ht="90" customHeight="1">
      <c r="A68" s="141" t="s">
        <v>153</v>
      </c>
      <c r="B68" s="181"/>
      <c r="C68" s="184"/>
      <c r="D68" s="181"/>
      <c r="E68" s="170"/>
      <c r="F68" s="170"/>
      <c r="G68" s="141" t="s">
        <v>154</v>
      </c>
      <c r="H68" s="141" t="s">
        <v>155</v>
      </c>
      <c r="I68" s="113" t="s">
        <v>156</v>
      </c>
      <c r="J68" s="79">
        <v>42964</v>
      </c>
      <c r="K68" s="79" t="s">
        <v>297</v>
      </c>
      <c r="L68" s="114">
        <v>462564.29</v>
      </c>
      <c r="M68" s="79">
        <v>43389</v>
      </c>
      <c r="N68" s="141" t="s">
        <v>390</v>
      </c>
      <c r="O68" s="135">
        <v>0</v>
      </c>
      <c r="P68" s="41">
        <v>0</v>
      </c>
      <c r="Q68" s="127" t="s">
        <v>34</v>
      </c>
      <c r="R68" s="135">
        <f>0+0</f>
        <v>0</v>
      </c>
      <c r="S68" s="135">
        <f t="shared" si="0"/>
        <v>0</v>
      </c>
      <c r="T68" s="135">
        <f t="shared" si="1"/>
        <v>0</v>
      </c>
      <c r="U68" s="41">
        <f>112313.14+T68</f>
        <v>112313.14</v>
      </c>
      <c r="V68" s="57" t="s">
        <v>195</v>
      </c>
    </row>
    <row r="69" spans="1:22" s="13" customFormat="1" ht="189.75" customHeight="1">
      <c r="A69" s="141" t="s">
        <v>200</v>
      </c>
      <c r="B69" s="181"/>
      <c r="C69" s="184"/>
      <c r="D69" s="181"/>
      <c r="E69" s="170"/>
      <c r="F69" s="170"/>
      <c r="G69" s="141" t="s">
        <v>201</v>
      </c>
      <c r="H69" s="141" t="s">
        <v>202</v>
      </c>
      <c r="I69" s="113" t="s">
        <v>203</v>
      </c>
      <c r="J69" s="79">
        <v>40379</v>
      </c>
      <c r="K69" s="79" t="s">
        <v>297</v>
      </c>
      <c r="L69" s="114">
        <v>292807.05</v>
      </c>
      <c r="M69" s="79">
        <v>44275</v>
      </c>
      <c r="N69" s="141" t="s">
        <v>421</v>
      </c>
      <c r="O69" s="135">
        <f>4856.23+22334.8+27586.57+0</f>
        <v>54777.6</v>
      </c>
      <c r="P69" s="41">
        <v>0</v>
      </c>
      <c r="Q69" s="127" t="s">
        <v>34</v>
      </c>
      <c r="R69" s="135">
        <f>24725.82+20471.44+50756.86+0</f>
        <v>95954.12</v>
      </c>
      <c r="S69" s="135">
        <f t="shared" si="0"/>
        <v>0</v>
      </c>
      <c r="T69" s="135">
        <f t="shared" si="1"/>
        <v>95954.12</v>
      </c>
      <c r="U69" s="41">
        <f>11966.51+T69</f>
        <v>107920.62999999999</v>
      </c>
      <c r="V69" s="57" t="s">
        <v>47</v>
      </c>
    </row>
    <row r="70" spans="1:22" s="13" customFormat="1" ht="120" customHeight="1">
      <c r="A70" s="141" t="s">
        <v>416</v>
      </c>
      <c r="B70" s="182"/>
      <c r="C70" s="185"/>
      <c r="D70" s="182"/>
      <c r="E70" s="171"/>
      <c r="F70" s="171"/>
      <c r="G70" s="141" t="s">
        <v>417</v>
      </c>
      <c r="H70" s="141" t="s">
        <v>418</v>
      </c>
      <c r="I70" s="113" t="s">
        <v>419</v>
      </c>
      <c r="J70" s="79">
        <v>44742</v>
      </c>
      <c r="K70" s="79" t="s">
        <v>402</v>
      </c>
      <c r="L70" s="114">
        <v>39141.46</v>
      </c>
      <c r="M70" s="141" t="s">
        <v>45</v>
      </c>
      <c r="N70" s="141" t="s">
        <v>402</v>
      </c>
      <c r="O70" s="135">
        <v>0</v>
      </c>
      <c r="P70" s="41">
        <v>0</v>
      </c>
      <c r="Q70" s="127" t="s">
        <v>34</v>
      </c>
      <c r="R70" s="135">
        <v>0</v>
      </c>
      <c r="S70" s="135">
        <f t="shared" si="0"/>
        <v>0</v>
      </c>
      <c r="T70" s="135">
        <f>R70+S70-S70</f>
        <v>0</v>
      </c>
      <c r="U70" s="41">
        <f>0+T70</f>
        <v>0</v>
      </c>
      <c r="V70" s="57" t="s">
        <v>47</v>
      </c>
    </row>
    <row r="71" spans="1:22" s="13" customFormat="1" ht="120" customHeight="1">
      <c r="A71" s="141" t="s">
        <v>158</v>
      </c>
      <c r="B71" s="180" t="s">
        <v>159</v>
      </c>
      <c r="C71" s="183" t="s">
        <v>160</v>
      </c>
      <c r="D71" s="180" t="s">
        <v>148</v>
      </c>
      <c r="E71" s="169">
        <v>487500</v>
      </c>
      <c r="F71" s="169">
        <v>48750</v>
      </c>
      <c r="G71" s="79" t="s">
        <v>161</v>
      </c>
      <c r="H71" s="141" t="s">
        <v>162</v>
      </c>
      <c r="I71" s="113" t="s">
        <v>163</v>
      </c>
      <c r="J71" s="79">
        <v>41837</v>
      </c>
      <c r="K71" s="79" t="s">
        <v>157</v>
      </c>
      <c r="L71" s="114">
        <v>464262.35</v>
      </c>
      <c r="M71" s="79">
        <v>43096</v>
      </c>
      <c r="N71" s="141" t="s">
        <v>205</v>
      </c>
      <c r="O71" s="135">
        <f>71954.18</f>
        <v>71954.18</v>
      </c>
      <c r="P71" s="41">
        <v>0</v>
      </c>
      <c r="Q71" s="127" t="s">
        <v>34</v>
      </c>
      <c r="R71" s="135">
        <f>0+0</f>
        <v>0</v>
      </c>
      <c r="S71" s="135">
        <f t="shared" si="0"/>
        <v>0</v>
      </c>
      <c r="T71" s="135">
        <f t="shared" si="1"/>
        <v>0</v>
      </c>
      <c r="U71" s="41">
        <f>7710.2+8166.24+77102.02+73496.15+84812.22+22839.48+T71</f>
        <v>274126.31</v>
      </c>
      <c r="V71" s="57" t="s">
        <v>268</v>
      </c>
    </row>
    <row r="72" spans="1:22" s="13" customFormat="1" ht="120" customHeight="1">
      <c r="A72" s="141" t="s">
        <v>164</v>
      </c>
      <c r="B72" s="182"/>
      <c r="C72" s="185"/>
      <c r="D72" s="182"/>
      <c r="E72" s="171"/>
      <c r="F72" s="171"/>
      <c r="G72" s="79" t="s">
        <v>165</v>
      </c>
      <c r="H72" s="79" t="s">
        <v>166</v>
      </c>
      <c r="I72" s="79" t="s">
        <v>167</v>
      </c>
      <c r="J72" s="79">
        <v>43661</v>
      </c>
      <c r="K72" s="79" t="s">
        <v>297</v>
      </c>
      <c r="L72" s="128">
        <v>230087.16</v>
      </c>
      <c r="M72" s="79">
        <v>44355</v>
      </c>
      <c r="N72" s="141" t="s">
        <v>194</v>
      </c>
      <c r="O72" s="135">
        <v>0</v>
      </c>
      <c r="P72" s="41">
        <v>0</v>
      </c>
      <c r="Q72" s="127" t="s">
        <v>34</v>
      </c>
      <c r="R72" s="135">
        <f>0+0</f>
        <v>0</v>
      </c>
      <c r="S72" s="135">
        <f t="shared" si="0"/>
        <v>0</v>
      </c>
      <c r="T72" s="135">
        <f t="shared" si="1"/>
        <v>0</v>
      </c>
      <c r="U72" s="41">
        <f>35717.99+121814.12+T72</f>
        <v>157532.11</v>
      </c>
      <c r="V72" s="57" t="s">
        <v>62</v>
      </c>
    </row>
    <row r="73" spans="1:22" s="13" customFormat="1" ht="189.75" customHeight="1">
      <c r="A73" s="141" t="s">
        <v>168</v>
      </c>
      <c r="B73" s="141" t="s">
        <v>169</v>
      </c>
      <c r="C73" s="113" t="s">
        <v>170</v>
      </c>
      <c r="D73" s="141" t="s">
        <v>148</v>
      </c>
      <c r="E73" s="45">
        <f>3000000-2591233</f>
        <v>408767</v>
      </c>
      <c r="F73" s="45">
        <v>681.32</v>
      </c>
      <c r="G73" s="79" t="s">
        <v>171</v>
      </c>
      <c r="H73" s="141" t="s">
        <v>172</v>
      </c>
      <c r="I73" s="113" t="s">
        <v>173</v>
      </c>
      <c r="J73" s="79">
        <v>43108</v>
      </c>
      <c r="K73" s="79" t="s">
        <v>184</v>
      </c>
      <c r="L73" s="114">
        <v>464262.35</v>
      </c>
      <c r="M73" s="79">
        <v>43838</v>
      </c>
      <c r="N73" s="141" t="s">
        <v>295</v>
      </c>
      <c r="O73" s="135">
        <v>0</v>
      </c>
      <c r="P73" s="41">
        <v>0</v>
      </c>
      <c r="Q73" s="127" t="s">
        <v>34</v>
      </c>
      <c r="R73" s="41">
        <f>22790.64+0</f>
        <v>22790.64</v>
      </c>
      <c r="S73" s="135">
        <f t="shared" si="0"/>
        <v>0</v>
      </c>
      <c r="T73" s="135">
        <f t="shared" si="1"/>
        <v>22790.64</v>
      </c>
      <c r="U73" s="41">
        <f>111286.09+63093.14+64047.11+76638.7+T73</f>
        <v>337855.68</v>
      </c>
      <c r="V73" s="57" t="s">
        <v>62</v>
      </c>
    </row>
    <row r="74" spans="1:22" s="13" customFormat="1" ht="180" customHeight="1">
      <c r="A74" s="141" t="s">
        <v>174</v>
      </c>
      <c r="B74" s="138" t="s">
        <v>175</v>
      </c>
      <c r="C74" s="140" t="s">
        <v>176</v>
      </c>
      <c r="D74" s="138" t="s">
        <v>148</v>
      </c>
      <c r="E74" s="130">
        <v>1008477.6</v>
      </c>
      <c r="F74" s="130">
        <v>1070</v>
      </c>
      <c r="G74" s="79" t="s">
        <v>177</v>
      </c>
      <c r="H74" s="141" t="s">
        <v>178</v>
      </c>
      <c r="I74" s="113" t="s">
        <v>179</v>
      </c>
      <c r="J74" s="79">
        <v>43409</v>
      </c>
      <c r="K74" s="79" t="s">
        <v>157</v>
      </c>
      <c r="L74" s="114">
        <v>1746130.1</v>
      </c>
      <c r="M74" s="79">
        <v>43759</v>
      </c>
      <c r="N74" s="141" t="s">
        <v>194</v>
      </c>
      <c r="O74" s="135">
        <v>0</v>
      </c>
      <c r="P74" s="41">
        <v>0</v>
      </c>
      <c r="Q74" s="127" t="s">
        <v>34</v>
      </c>
      <c r="R74" s="135">
        <f>0+0</f>
        <v>0</v>
      </c>
      <c r="S74" s="135">
        <f t="shared" si="0"/>
        <v>0</v>
      </c>
      <c r="T74" s="135">
        <f t="shared" si="1"/>
        <v>0</v>
      </c>
      <c r="U74" s="41">
        <f>0+56207.44+T74</f>
        <v>56207.44</v>
      </c>
      <c r="V74" s="57" t="s">
        <v>375</v>
      </c>
    </row>
    <row r="75" spans="1:22" s="13" customFormat="1" ht="219.75" customHeight="1">
      <c r="A75" s="141" t="s">
        <v>180</v>
      </c>
      <c r="B75" s="141" t="s">
        <v>181</v>
      </c>
      <c r="C75" s="113" t="s">
        <v>182</v>
      </c>
      <c r="D75" s="141" t="s">
        <v>148</v>
      </c>
      <c r="E75" s="45">
        <v>295000</v>
      </c>
      <c r="F75" s="45">
        <v>5000</v>
      </c>
      <c r="G75" s="141" t="s">
        <v>139</v>
      </c>
      <c r="H75" s="141" t="s">
        <v>120</v>
      </c>
      <c r="I75" s="141" t="s">
        <v>183</v>
      </c>
      <c r="J75" s="79">
        <v>43584</v>
      </c>
      <c r="K75" s="141" t="s">
        <v>300</v>
      </c>
      <c r="L75" s="114">
        <v>299227.98</v>
      </c>
      <c r="M75" s="79">
        <v>44588</v>
      </c>
      <c r="N75" s="141" t="s">
        <v>296</v>
      </c>
      <c r="O75" s="135">
        <v>0</v>
      </c>
      <c r="P75" s="46">
        <v>0</v>
      </c>
      <c r="Q75" s="127" t="s">
        <v>34</v>
      </c>
      <c r="R75" s="135">
        <f>132625.01+0</f>
        <v>132625.01</v>
      </c>
      <c r="S75" s="135">
        <f t="shared" si="0"/>
        <v>0</v>
      </c>
      <c r="T75" s="135">
        <f t="shared" si="1"/>
        <v>132625.01</v>
      </c>
      <c r="U75" s="41">
        <f>104004+60121.48+T75</f>
        <v>296750.49</v>
      </c>
      <c r="V75" s="139" t="s">
        <v>62</v>
      </c>
    </row>
    <row r="76" spans="1:22" s="13" customFormat="1" ht="180" customHeight="1">
      <c r="A76" s="141" t="s">
        <v>185</v>
      </c>
      <c r="B76" s="141" t="s">
        <v>186</v>
      </c>
      <c r="C76" s="113" t="s">
        <v>187</v>
      </c>
      <c r="D76" s="141" t="s">
        <v>148</v>
      </c>
      <c r="E76" s="45">
        <v>345000</v>
      </c>
      <c r="F76" s="45">
        <v>74173.26</v>
      </c>
      <c r="G76" s="141" t="s">
        <v>188</v>
      </c>
      <c r="H76" s="141" t="s">
        <v>110</v>
      </c>
      <c r="I76" s="141" t="s">
        <v>189</v>
      </c>
      <c r="J76" s="79">
        <v>43628</v>
      </c>
      <c r="K76" s="141" t="s">
        <v>297</v>
      </c>
      <c r="L76" s="114">
        <f>419173.26+126167.93</f>
        <v>545341.19</v>
      </c>
      <c r="M76" s="79">
        <v>44439</v>
      </c>
      <c r="N76" s="141" t="s">
        <v>421</v>
      </c>
      <c r="O76" s="135">
        <v>126167.93</v>
      </c>
      <c r="P76" s="46">
        <v>83778.58</v>
      </c>
      <c r="Q76" s="127" t="s">
        <v>34</v>
      </c>
      <c r="R76" s="135">
        <f>83778.58+0</f>
        <v>83778.58</v>
      </c>
      <c r="S76" s="135">
        <f t="shared" si="0"/>
        <v>0</v>
      </c>
      <c r="T76" s="135">
        <f t="shared" si="1"/>
        <v>83778.58</v>
      </c>
      <c r="U76" s="41">
        <f>0+212067.13+288422.92+T76</f>
        <v>584268.63</v>
      </c>
      <c r="V76" s="139" t="s">
        <v>62</v>
      </c>
    </row>
    <row r="77" spans="1:22" s="13" customFormat="1" ht="180" customHeight="1">
      <c r="A77" s="141" t="s">
        <v>212</v>
      </c>
      <c r="B77" s="141" t="s">
        <v>213</v>
      </c>
      <c r="C77" s="113" t="s">
        <v>214</v>
      </c>
      <c r="D77" s="141" t="s">
        <v>148</v>
      </c>
      <c r="E77" s="45">
        <v>222857.14</v>
      </c>
      <c r="F77" s="45">
        <v>300</v>
      </c>
      <c r="G77" s="141" t="s">
        <v>215</v>
      </c>
      <c r="H77" s="141" t="s">
        <v>216</v>
      </c>
      <c r="I77" s="141" t="s">
        <v>217</v>
      </c>
      <c r="J77" s="79">
        <v>44090</v>
      </c>
      <c r="K77" s="141" t="s">
        <v>157</v>
      </c>
      <c r="L77" s="114">
        <v>163992.97</v>
      </c>
      <c r="M77" s="79">
        <v>44336</v>
      </c>
      <c r="N77" s="141" t="s">
        <v>70</v>
      </c>
      <c r="O77" s="135">
        <v>0</v>
      </c>
      <c r="P77" s="46">
        <v>0</v>
      </c>
      <c r="Q77" s="127" t="s">
        <v>34</v>
      </c>
      <c r="R77" s="135">
        <f>0+0</f>
        <v>0</v>
      </c>
      <c r="S77" s="135">
        <f t="shared" si="0"/>
        <v>0</v>
      </c>
      <c r="T77" s="135">
        <f t="shared" si="1"/>
        <v>0</v>
      </c>
      <c r="U77" s="41">
        <f>0+T77</f>
        <v>0</v>
      </c>
      <c r="V77" s="67" t="s">
        <v>378</v>
      </c>
    </row>
    <row r="78" spans="1:22" ht="157.5" customHeight="1">
      <c r="A78" s="141" t="s">
        <v>219</v>
      </c>
      <c r="B78" s="141" t="s">
        <v>218</v>
      </c>
      <c r="C78" s="113" t="s">
        <v>220</v>
      </c>
      <c r="D78" s="141" t="s">
        <v>148</v>
      </c>
      <c r="E78" s="45">
        <v>222857.14</v>
      </c>
      <c r="F78" s="45">
        <f>(300+112248.71)</f>
        <v>112548.71</v>
      </c>
      <c r="G78" s="141" t="s">
        <v>221</v>
      </c>
      <c r="H78" s="141" t="s">
        <v>222</v>
      </c>
      <c r="I78" s="141" t="s">
        <v>422</v>
      </c>
      <c r="J78" s="79">
        <v>44309</v>
      </c>
      <c r="K78" s="141" t="s">
        <v>297</v>
      </c>
      <c r="L78" s="114">
        <v>220865.92</v>
      </c>
      <c r="M78" s="79">
        <v>44744</v>
      </c>
      <c r="N78" s="141" t="s">
        <v>70</v>
      </c>
      <c r="O78" s="135">
        <v>0</v>
      </c>
      <c r="P78" s="46">
        <v>0</v>
      </c>
      <c r="Q78" s="127" t="s">
        <v>34</v>
      </c>
      <c r="R78" s="135">
        <f>0+0</f>
        <v>0</v>
      </c>
      <c r="S78" s="135">
        <f t="shared" si="0"/>
        <v>0</v>
      </c>
      <c r="T78" s="135">
        <f t="shared" si="1"/>
        <v>0</v>
      </c>
      <c r="U78" s="41">
        <f>0+T78</f>
        <v>0</v>
      </c>
      <c r="V78" s="67" t="s">
        <v>378</v>
      </c>
    </row>
    <row r="79" spans="1:22" ht="189" customHeight="1">
      <c r="A79" s="141" t="s">
        <v>270</v>
      </c>
      <c r="B79" s="141" t="s">
        <v>269</v>
      </c>
      <c r="C79" s="113" t="s">
        <v>271</v>
      </c>
      <c r="D79" s="141" t="s">
        <v>148</v>
      </c>
      <c r="E79" s="45">
        <v>222857.14</v>
      </c>
      <c r="F79" s="45">
        <v>300</v>
      </c>
      <c r="G79" s="141" t="s">
        <v>272</v>
      </c>
      <c r="H79" s="141" t="s">
        <v>115</v>
      </c>
      <c r="I79" s="141" t="s">
        <v>273</v>
      </c>
      <c r="J79" s="79">
        <v>44470</v>
      </c>
      <c r="K79" s="141" t="s">
        <v>387</v>
      </c>
      <c r="L79" s="114">
        <v>222774.02</v>
      </c>
      <c r="M79" s="79" t="s">
        <v>60</v>
      </c>
      <c r="N79" s="141" t="s">
        <v>387</v>
      </c>
      <c r="O79" s="135">
        <v>0</v>
      </c>
      <c r="P79" s="46">
        <v>0</v>
      </c>
      <c r="Q79" s="127" t="s">
        <v>34</v>
      </c>
      <c r="R79" s="135">
        <f>0+0</f>
        <v>0</v>
      </c>
      <c r="S79" s="135">
        <f>0+0</f>
        <v>0</v>
      </c>
      <c r="T79" s="135">
        <f t="shared" si="1"/>
        <v>0</v>
      </c>
      <c r="U79" s="41">
        <f>0+T79</f>
        <v>0</v>
      </c>
      <c r="V79" s="139" t="s">
        <v>405</v>
      </c>
    </row>
    <row r="80" spans="1:22" ht="68.25" customHeight="1">
      <c r="A80" s="141" t="s">
        <v>277</v>
      </c>
      <c r="B80" s="141" t="s">
        <v>275</v>
      </c>
      <c r="C80" s="113" t="s">
        <v>276</v>
      </c>
      <c r="D80" s="141" t="s">
        <v>274</v>
      </c>
      <c r="E80" s="45">
        <v>583662.81</v>
      </c>
      <c r="F80" s="45">
        <v>642.74</v>
      </c>
      <c r="G80" s="141" t="s">
        <v>221</v>
      </c>
      <c r="H80" s="141" t="s">
        <v>222</v>
      </c>
      <c r="I80" s="141" t="s">
        <v>278</v>
      </c>
      <c r="J80" s="79">
        <v>44285</v>
      </c>
      <c r="K80" s="141" t="s">
        <v>402</v>
      </c>
      <c r="L80" s="114">
        <v>584305.55</v>
      </c>
      <c r="M80" s="79">
        <v>44551</v>
      </c>
      <c r="N80" s="141" t="s">
        <v>70</v>
      </c>
      <c r="O80" s="135">
        <v>0</v>
      </c>
      <c r="P80" s="46">
        <v>0</v>
      </c>
      <c r="Q80" s="127" t="s">
        <v>34</v>
      </c>
      <c r="R80" s="135">
        <f>0+0</f>
        <v>0</v>
      </c>
      <c r="S80" s="135">
        <f>0+0</f>
        <v>0</v>
      </c>
      <c r="T80" s="135">
        <f t="shared" si="1"/>
        <v>0</v>
      </c>
      <c r="U80" s="41">
        <f>0+T80</f>
        <v>0</v>
      </c>
      <c r="V80" s="67" t="s">
        <v>423</v>
      </c>
    </row>
    <row r="81" spans="1:22" ht="64.5" customHeight="1">
      <c r="A81" s="141" t="s">
        <v>281</v>
      </c>
      <c r="B81" s="141" t="s">
        <v>279</v>
      </c>
      <c r="C81" s="113" t="s">
        <v>285</v>
      </c>
      <c r="D81" s="141" t="s">
        <v>274</v>
      </c>
      <c r="E81" s="78" t="s">
        <v>280</v>
      </c>
      <c r="F81" s="45">
        <v>910.83</v>
      </c>
      <c r="G81" s="141" t="s">
        <v>283</v>
      </c>
      <c r="H81" s="141" t="s">
        <v>284</v>
      </c>
      <c r="I81" s="141" t="s">
        <v>282</v>
      </c>
      <c r="J81" s="79">
        <v>44368</v>
      </c>
      <c r="K81" s="141" t="s">
        <v>353</v>
      </c>
      <c r="L81" s="114">
        <v>547199.57</v>
      </c>
      <c r="M81" s="79">
        <v>44551</v>
      </c>
      <c r="N81" s="141" t="s">
        <v>70</v>
      </c>
      <c r="O81" s="135">
        <v>0</v>
      </c>
      <c r="P81" s="46">
        <v>0</v>
      </c>
      <c r="Q81" s="127" t="s">
        <v>34</v>
      </c>
      <c r="R81" s="135">
        <f>0+0</f>
        <v>0</v>
      </c>
      <c r="S81" s="135">
        <f>0+0</f>
        <v>0</v>
      </c>
      <c r="T81" s="135">
        <f t="shared" si="1"/>
        <v>0</v>
      </c>
      <c r="U81" s="41">
        <f>0+T81</f>
        <v>0</v>
      </c>
      <c r="V81" s="67" t="s">
        <v>378</v>
      </c>
    </row>
  </sheetData>
  <sheetProtection/>
  <mergeCells count="67">
    <mergeCell ref="B67:B70"/>
    <mergeCell ref="C67:C70"/>
    <mergeCell ref="D67:D70"/>
    <mergeCell ref="E67:E70"/>
    <mergeCell ref="F67:F70"/>
    <mergeCell ref="B71:B72"/>
    <mergeCell ref="C71:C72"/>
    <mergeCell ref="D71:D72"/>
    <mergeCell ref="E71:E72"/>
    <mergeCell ref="F71:F72"/>
    <mergeCell ref="B29:B30"/>
    <mergeCell ref="C29:C30"/>
    <mergeCell ref="D29:D30"/>
    <mergeCell ref="E29:E30"/>
    <mergeCell ref="F29:F30"/>
    <mergeCell ref="B33:B34"/>
    <mergeCell ref="C33:C34"/>
    <mergeCell ref="D33:D34"/>
    <mergeCell ref="E33:E34"/>
    <mergeCell ref="F33:F34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18:B19"/>
    <mergeCell ref="C18:C19"/>
    <mergeCell ref="D18:D19"/>
    <mergeCell ref="E18:E19"/>
    <mergeCell ref="F18:F19"/>
    <mergeCell ref="B20:B22"/>
    <mergeCell ref="C20:C22"/>
    <mergeCell ref="D20:D22"/>
    <mergeCell ref="E20:E22"/>
    <mergeCell ref="F20:F22"/>
    <mergeCell ref="N11:O11"/>
    <mergeCell ref="Q11:Q12"/>
    <mergeCell ref="R11:R12"/>
    <mergeCell ref="S11:S12"/>
    <mergeCell ref="T11:T12"/>
    <mergeCell ref="B14:B17"/>
    <mergeCell ref="C14:C17"/>
    <mergeCell ref="D14:D17"/>
    <mergeCell ref="E14:E17"/>
    <mergeCell ref="F14:F17"/>
    <mergeCell ref="A10:O10"/>
    <mergeCell ref="P10:P12"/>
    <mergeCell ref="Q10:T10"/>
    <mergeCell ref="U10:U12"/>
    <mergeCell ref="V10:V12"/>
    <mergeCell ref="A11:A12"/>
    <mergeCell ref="B11:B12"/>
    <mergeCell ref="C11:F11"/>
    <mergeCell ref="G11:H11"/>
    <mergeCell ref="I11:M11"/>
    <mergeCell ref="A1:V1"/>
    <mergeCell ref="A2:V2"/>
    <mergeCell ref="A4:V4"/>
    <mergeCell ref="I7:O7"/>
    <mergeCell ref="P7:V7"/>
    <mergeCell ref="I8:O8"/>
    <mergeCell ref="P8:V8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Renata Magalhães</cp:lastModifiedBy>
  <cp:lastPrinted>2022-07-18T16:55:18Z</cp:lastPrinted>
  <dcterms:created xsi:type="dcterms:W3CDTF">2015-03-13T20:22:50Z</dcterms:created>
  <dcterms:modified xsi:type="dcterms:W3CDTF">2023-01-02T13:55:22Z</dcterms:modified>
  <cp:category/>
  <cp:version/>
  <cp:contentType/>
  <cp:contentStatus/>
</cp:coreProperties>
</file>