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7.JULHO\00. ORG. CD ( ESTOQUE)\14. TCE - final\TCE - FINAL\3.TCE DGMMAS EXCEL\"/>
    </mc:Choice>
  </mc:AlternateContent>
  <xr:revisionPtr revIDLastSave="0" documentId="8_{B30E5BA2-39C1-47A9-BF71-BB67F0AD03FF}" xr6:coauthVersionLast="45" xr6:coauthVersionMax="45" xr10:uidLastSave="{00000000-0000-0000-0000-000000000000}"/>
  <bookViews>
    <workbookView xWindow="-120" yWindow="-120" windowWidth="20730" windowHeight="11160" xr2:uid="{2366CD70-7817-4A1B-A380-FFAB50C30A79}"/>
  </bookViews>
  <sheets>
    <sheet name="UPABARRA-termos aditivos.2020_0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H74" i="1"/>
  <c r="A74" i="1"/>
  <c r="H73" i="1"/>
  <c r="A73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<sst xmlns="http://schemas.openxmlformats.org/spreadsheetml/2006/main" count="228" uniqueCount="34">
  <si>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</si>
  <si>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</si>
  <si>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</si>
  <si>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</si>
  <si>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</si>
  <si>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</si>
  <si>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</si>
  <si>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</si>
  <si>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</si>
  <si>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</si>
  <si>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</si>
  <si>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https://fpmf-sistemas.org.br/sistemas/aplic/transp/menu_ext_fpmf/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</si>
  <si>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</si>
  <si>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</si>
  <si>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</si>
  <si>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</si>
  <si>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</si>
  <si>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</si>
  <si>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</si>
  <si>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</si>
  <si>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</si>
  <si>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</si>
  <si>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</si>
  <si>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</si>
  <si>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</si>
  <si>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</si>
  <si>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</si>
  <si>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</si>
  <si>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</si>
  <si>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</si>
  <si>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FUNDAÇÃO DE APOIO AO DESENVOLVIMENTODA UNIVERSIDADE FEDERAL DE PERNANBUCO</t>
  </si>
  <si>
    <t>LUMI CONSULTORIA E SERIÇOS LTDA</t>
  </si>
  <si>
    <t>M.T.G. MONTAGEM TECNICA DE GÁS LTDA - ME</t>
  </si>
  <si>
    <t xml:space="preserve">JL GRUPOS GERADORES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</si>
</sst>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5" fillId="3" borderId="4" xfId="2" applyFont="1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7.JULHO/PCF_07%202020%20UPA%20BARRA%20DE%20JANGADA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3D68-09F6-46EB-9C7F-F2A4F949AA77}">
  <sheetPr>
    <tabColor indexed="13"/>
  </sheetPr>
  <dimension ref="A1:I991"/>
  <sheetViews>
    <sheetView showGridLines="0" tabSelected="1" zoomScale="90" zoomScaleNormal="90" workbookViewId="0">
      <selection activeCell="B79" sqref="B79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(OCULTAR)'!$P$3:$R$53,3,0),"")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f>3191.82*12</f>
        <v>38301.840000000004</v>
      </c>
      <c r="I2" s="9" t="s">
        <v>11</v>
      </c>
    </row>
    <row r="3" spans="1:9" ht="21" customHeight="1" x14ac:dyDescent="0.2">
      <c r="A3" s="2">
        <f>IFERROR(VLOOKUP(B3,'[1]DADOS (OCULTAR)'!$P$3:$R$53,3,0),"")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f>3258.85*12</f>
        <v>39106.199999999997</v>
      </c>
      <c r="I3" s="9" t="s">
        <v>11</v>
      </c>
    </row>
    <row r="4" spans="1:9" ht="21" customHeight="1" x14ac:dyDescent="0.2">
      <c r="A4" s="2">
        <f>IFERROR(VLOOKUP(B4,'[1]DADOS (OCULTAR)'!$P$3:$R$53,3,0),"")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f>3409.08*12</f>
        <v>40908.959999999999</v>
      </c>
      <c r="I4" s="9" t="s">
        <v>11</v>
      </c>
    </row>
    <row r="5" spans="1:9" ht="21" customHeight="1" x14ac:dyDescent="0.2">
      <c r="A5" s="2">
        <f>IFERROR(VLOOKUP(B5,'[1]DADOS (OCULTAR)'!$P$3:$R$53,3,0),"")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f>3548.51*12</f>
        <v>42582.12</v>
      </c>
      <c r="I5" s="9" t="s">
        <v>11</v>
      </c>
    </row>
    <row r="6" spans="1:9" ht="21" customHeight="1" x14ac:dyDescent="0.2">
      <c r="A6" s="2">
        <f>IFERROR(VLOOKUP(B6,'[1]DADOS (OCULTAR)'!$P$3:$R$53,3,0),"")</f>
        <v>9039744000941</v>
      </c>
      <c r="B6" s="3" t="s">
        <v>9</v>
      </c>
      <c r="C6" s="4">
        <v>6066387000165</v>
      </c>
      <c r="D6" s="5" t="s">
        <v>12</v>
      </c>
      <c r="E6" s="6">
        <v>1</v>
      </c>
      <c r="F6" s="7">
        <v>40719</v>
      </c>
      <c r="G6" s="7">
        <v>43067</v>
      </c>
      <c r="H6" s="8">
        <f>10976.49*12</f>
        <v>131717.88</v>
      </c>
      <c r="I6" s="9" t="s">
        <v>11</v>
      </c>
    </row>
    <row r="7" spans="1:9" ht="21" customHeight="1" x14ac:dyDescent="0.2">
      <c r="A7" s="2">
        <f>IFERROR(VLOOKUP(B7,'[1]DADOS (OCULTAR)'!$P$3:$R$53,3,0),"")</f>
        <v>9039744000941</v>
      </c>
      <c r="B7" s="3" t="s">
        <v>9</v>
      </c>
      <c r="C7" s="4">
        <v>6066387000165</v>
      </c>
      <c r="D7" s="5" t="s">
        <v>12</v>
      </c>
      <c r="E7" s="6">
        <v>2</v>
      </c>
      <c r="F7" s="7">
        <v>43067</v>
      </c>
      <c r="G7" s="7">
        <v>43333</v>
      </c>
      <c r="H7" s="8">
        <f>9000*12</f>
        <v>108000</v>
      </c>
      <c r="I7" s="9" t="s">
        <v>11</v>
      </c>
    </row>
    <row r="8" spans="1:9" ht="21" customHeight="1" x14ac:dyDescent="0.2">
      <c r="A8" s="2">
        <f>IFERROR(VLOOKUP(B8,'[1]DADOS (OCULTAR)'!$P$3:$R$53,3,0),"")</f>
        <v>9039744000941</v>
      </c>
      <c r="B8" s="3" t="s">
        <v>9</v>
      </c>
      <c r="C8" s="4">
        <v>6066387000165</v>
      </c>
      <c r="D8" s="5" t="s">
        <v>12</v>
      </c>
      <c r="E8" s="6">
        <v>3</v>
      </c>
      <c r="F8" s="7">
        <v>43333</v>
      </c>
      <c r="G8" s="7">
        <v>43653</v>
      </c>
      <c r="H8" s="8">
        <f>10589.53*12</f>
        <v>127074.36000000002</v>
      </c>
      <c r="I8" s="9" t="s">
        <v>11</v>
      </c>
    </row>
    <row r="9" spans="1:9" ht="21" customHeight="1" x14ac:dyDescent="0.2">
      <c r="A9" s="2">
        <f>IFERROR(VLOOKUP(B9,'[1]DADOS (OCULTAR)'!$P$3:$R$53,3,0),"")</f>
        <v>9039744000941</v>
      </c>
      <c r="B9" s="3" t="s">
        <v>9</v>
      </c>
      <c r="C9" s="4">
        <v>6066387000165</v>
      </c>
      <c r="D9" s="5" t="s">
        <v>12</v>
      </c>
      <c r="E9" s="6">
        <v>4</v>
      </c>
      <c r="F9" s="7">
        <v>43653</v>
      </c>
      <c r="G9" s="7">
        <v>44019</v>
      </c>
      <c r="H9" s="8">
        <f>11400.55*12</f>
        <v>136806.59999999998</v>
      </c>
      <c r="I9" s="9" t="s">
        <v>11</v>
      </c>
    </row>
    <row r="10" spans="1:9" ht="21" customHeight="1" x14ac:dyDescent="0.2">
      <c r="A10" s="2">
        <f>IFERROR(VLOOKUP(B10,'[1]DADOS (OCULTAR)'!$P$3:$R$53,3,0),"")</f>
        <v>9039744000941</v>
      </c>
      <c r="B10" s="3" t="s">
        <v>9</v>
      </c>
      <c r="C10" s="4">
        <v>331788000119</v>
      </c>
      <c r="D10" s="5" t="s">
        <v>13</v>
      </c>
      <c r="E10" s="6">
        <v>1</v>
      </c>
      <c r="F10" s="7">
        <v>40544</v>
      </c>
      <c r="G10" s="7">
        <v>40935</v>
      </c>
      <c r="H10" s="8">
        <f>3000*12</f>
        <v>36000</v>
      </c>
      <c r="I10" s="9" t="s">
        <v>11</v>
      </c>
    </row>
    <row r="11" spans="1:9" ht="21" customHeight="1" x14ac:dyDescent="0.2">
      <c r="A11" s="2">
        <f>IFERROR(VLOOKUP(B11,'[1]DADOS (OCULTAR)'!$P$3:$R$53,3,0),"")</f>
        <v>9039744000941</v>
      </c>
      <c r="B11" s="3" t="s">
        <v>9</v>
      </c>
      <c r="C11" s="4">
        <v>331788000119</v>
      </c>
      <c r="D11" s="5" t="s">
        <v>13</v>
      </c>
      <c r="E11" s="6">
        <v>2</v>
      </c>
      <c r="F11" s="7">
        <v>40935</v>
      </c>
      <c r="G11" s="7">
        <v>40969</v>
      </c>
      <c r="H11" s="8">
        <f>3000*12</f>
        <v>36000</v>
      </c>
      <c r="I11" s="9" t="s">
        <v>11</v>
      </c>
    </row>
    <row r="12" spans="1:9" ht="21" customHeight="1" x14ac:dyDescent="0.2">
      <c r="A12" s="2">
        <f>IFERROR(VLOOKUP(B12,'[1]DADOS (OCULTAR)'!$P$3:$R$53,3,0),"")</f>
        <v>9039744000941</v>
      </c>
      <c r="B12" s="3" t="s">
        <v>9</v>
      </c>
      <c r="C12" s="4">
        <v>331788000119</v>
      </c>
      <c r="D12" s="5" t="s">
        <v>13</v>
      </c>
      <c r="E12" s="6">
        <v>3</v>
      </c>
      <c r="F12" s="7">
        <v>40969</v>
      </c>
      <c r="G12" s="7">
        <v>42170</v>
      </c>
      <c r="H12" s="8">
        <f>3150*12</f>
        <v>37800</v>
      </c>
      <c r="I12" s="9" t="s">
        <v>11</v>
      </c>
    </row>
    <row r="13" spans="1:9" ht="21" customHeight="1" x14ac:dyDescent="0.2">
      <c r="A13" s="2">
        <f>IFERROR(VLOOKUP(B13,'[1]DADOS (OCULTAR)'!$P$3:$R$53,3,0),"")</f>
        <v>9039744000941</v>
      </c>
      <c r="B13" s="3" t="s">
        <v>9</v>
      </c>
      <c r="C13" s="4">
        <v>331788000119</v>
      </c>
      <c r="D13" s="5" t="s">
        <v>13</v>
      </c>
      <c r="E13" s="6">
        <v>4</v>
      </c>
      <c r="F13" s="7">
        <v>42170</v>
      </c>
      <c r="G13" s="7">
        <v>43145</v>
      </c>
      <c r="H13" s="8">
        <f>2362*12</f>
        <v>28344</v>
      </c>
      <c r="I13" s="9" t="s">
        <v>11</v>
      </c>
    </row>
    <row r="14" spans="1:9" ht="21" customHeight="1" x14ac:dyDescent="0.2">
      <c r="A14" s="2">
        <f>IFERROR(VLOOKUP(B14,'[1]DADOS (OCULTAR)'!$P$3:$R$53,3,0),"")</f>
        <v>9039744000941</v>
      </c>
      <c r="B14" s="3" t="s">
        <v>9</v>
      </c>
      <c r="C14" s="4">
        <v>331788000119</v>
      </c>
      <c r="D14" s="5" t="s">
        <v>13</v>
      </c>
      <c r="E14" s="6">
        <v>5</v>
      </c>
      <c r="F14" s="7">
        <v>43145</v>
      </c>
      <c r="G14" s="7">
        <v>43480</v>
      </c>
      <c r="H14" s="8">
        <f>2511.51*12</f>
        <v>30138.120000000003</v>
      </c>
      <c r="I14" s="9" t="s">
        <v>11</v>
      </c>
    </row>
    <row r="15" spans="1:9" ht="21" customHeight="1" x14ac:dyDescent="0.2">
      <c r="A15" s="2">
        <f>IFERROR(VLOOKUP(B15,'[1]DADOS (OCULTAR)'!$P$3:$R$53,3,0),"")</f>
        <v>9039744000941</v>
      </c>
      <c r="B15" s="3" t="s">
        <v>9</v>
      </c>
      <c r="C15" s="4">
        <v>331788000119</v>
      </c>
      <c r="D15" s="5" t="s">
        <v>13</v>
      </c>
      <c r="E15" s="6">
        <v>6</v>
      </c>
      <c r="F15" s="7">
        <v>43480</v>
      </c>
      <c r="G15" s="7">
        <v>44166</v>
      </c>
      <c r="H15" s="8">
        <f>2606.36*12</f>
        <v>31276.32</v>
      </c>
      <c r="I15" s="9" t="s">
        <v>11</v>
      </c>
    </row>
    <row r="16" spans="1:9" ht="21" customHeight="1" x14ac:dyDescent="0.2">
      <c r="A16" s="2">
        <f>IFERROR(VLOOKUP(B16,'[1]DADOS (OCULTAR)'!$P$3:$R$53,3,0),"")</f>
        <v>9039744000941</v>
      </c>
      <c r="B16" s="3" t="s">
        <v>9</v>
      </c>
      <c r="C16" s="4">
        <v>4732857000157</v>
      </c>
      <c r="D16" s="5" t="s">
        <v>14</v>
      </c>
      <c r="E16" s="6">
        <v>1</v>
      </c>
      <c r="F16" s="7">
        <v>41183</v>
      </c>
      <c r="G16" s="7">
        <v>42156</v>
      </c>
      <c r="H16" s="8">
        <f>1500*12</f>
        <v>18000</v>
      </c>
      <c r="I16" s="9" t="s">
        <v>11</v>
      </c>
    </row>
    <row r="17" spans="1:9" ht="21" customHeight="1" x14ac:dyDescent="0.2">
      <c r="A17" s="2">
        <f>IFERROR(VLOOKUP(B17,'[1]DADOS (OCULTAR)'!$P$3:$R$53,3,0),"")</f>
        <v>9039744000941</v>
      </c>
      <c r="B17" s="3" t="s">
        <v>9</v>
      </c>
      <c r="C17" s="4">
        <v>4732857000157</v>
      </c>
      <c r="D17" s="5" t="s">
        <v>14</v>
      </c>
      <c r="E17" s="6">
        <v>2</v>
      </c>
      <c r="F17" s="7">
        <v>42156</v>
      </c>
      <c r="G17" s="7">
        <v>42673</v>
      </c>
      <c r="H17" s="8">
        <f>1438.26*12</f>
        <v>17259.12</v>
      </c>
      <c r="I17" s="9" t="s">
        <v>11</v>
      </c>
    </row>
    <row r="18" spans="1:9" ht="21" customHeight="1" x14ac:dyDescent="0.2">
      <c r="A18" s="2">
        <f>IFERROR(VLOOKUP(B18,'[1]DADOS (OCULTAR)'!$P$3:$R$53,3,0),"")</f>
        <v>9039744000941</v>
      </c>
      <c r="B18" s="3" t="s">
        <v>9</v>
      </c>
      <c r="C18" s="4">
        <v>4732857000157</v>
      </c>
      <c r="D18" s="5" t="s">
        <v>14</v>
      </c>
      <c r="E18" s="6">
        <v>3</v>
      </c>
      <c r="F18" s="7">
        <v>42673</v>
      </c>
      <c r="G18" s="7">
        <v>43433</v>
      </c>
      <c r="H18" s="8">
        <f>1564.8*12</f>
        <v>18777.599999999999</v>
      </c>
      <c r="I18" s="9" t="s">
        <v>11</v>
      </c>
    </row>
    <row r="19" spans="1:9" ht="21" customHeight="1" x14ac:dyDescent="0.2">
      <c r="A19" s="2">
        <f>IFERROR(VLOOKUP(B19,'[1]DADOS (OCULTAR)'!$P$3:$R$53,3,0),"")</f>
        <v>9039744000941</v>
      </c>
      <c r="B19" s="3" t="s">
        <v>9</v>
      </c>
      <c r="C19" s="4">
        <v>4732857000157</v>
      </c>
      <c r="D19" s="5" t="s">
        <v>14</v>
      </c>
      <c r="E19" s="6">
        <v>4</v>
      </c>
      <c r="F19" s="7">
        <v>43433</v>
      </c>
      <c r="G19" s="7">
        <v>44166</v>
      </c>
      <c r="H19" s="8">
        <f>1733.91*12</f>
        <v>20806.920000000002</v>
      </c>
      <c r="I19" s="9" t="s">
        <v>11</v>
      </c>
    </row>
    <row r="20" spans="1:9" ht="21" customHeight="1" x14ac:dyDescent="0.2">
      <c r="A20" s="2">
        <f>IFERROR(VLOOKUP(B20,'[1]DADOS (OCULTAR)'!$P$3:$R$53,3,0),"")</f>
        <v>9039744000941</v>
      </c>
      <c r="B20" s="3" t="s">
        <v>9</v>
      </c>
      <c r="C20" s="4">
        <v>2512303000119</v>
      </c>
      <c r="D20" s="5" t="s">
        <v>15</v>
      </c>
      <c r="E20" s="6">
        <v>1</v>
      </c>
      <c r="F20" s="7">
        <v>40361</v>
      </c>
      <c r="G20" s="7">
        <v>40817</v>
      </c>
      <c r="H20" s="8">
        <f>1500*12</f>
        <v>18000</v>
      </c>
      <c r="I20" s="9" t="s">
        <v>11</v>
      </c>
    </row>
    <row r="21" spans="1:9" ht="21" customHeight="1" x14ac:dyDescent="0.2">
      <c r="A21" s="2">
        <f>IFERROR(VLOOKUP(B21,'[1]DADOS (OCULTAR)'!$P$3:$R$53,3,0),"")</f>
        <v>9039744000941</v>
      </c>
      <c r="B21" s="3" t="s">
        <v>9</v>
      </c>
      <c r="C21" s="4">
        <v>2512303000119</v>
      </c>
      <c r="D21" s="5" t="s">
        <v>15</v>
      </c>
      <c r="E21" s="6">
        <v>2</v>
      </c>
      <c r="F21" s="7">
        <v>40817</v>
      </c>
      <c r="G21" s="7">
        <v>41456</v>
      </c>
      <c r="H21" s="8">
        <f>1629.65*12</f>
        <v>19555.800000000003</v>
      </c>
      <c r="I21" s="9" t="s">
        <v>11</v>
      </c>
    </row>
    <row r="22" spans="1:9" ht="21" customHeight="1" x14ac:dyDescent="0.2">
      <c r="A22" s="2">
        <f>IFERROR(VLOOKUP(B22,'[1]DADOS (OCULTAR)'!$P$3:$R$53,3,0),"")</f>
        <v>9039744000941</v>
      </c>
      <c r="B22" s="3" t="s">
        <v>9</v>
      </c>
      <c r="C22" s="4">
        <v>2512303000119</v>
      </c>
      <c r="D22" s="5" t="s">
        <v>15</v>
      </c>
      <c r="E22" s="6">
        <v>3</v>
      </c>
      <c r="F22" s="7">
        <v>41456</v>
      </c>
      <c r="G22" s="7">
        <v>41641</v>
      </c>
      <c r="H22" s="8">
        <f>1800*12</f>
        <v>21600</v>
      </c>
      <c r="I22" s="9" t="s">
        <v>11</v>
      </c>
    </row>
    <row r="23" spans="1:9" ht="21" customHeight="1" x14ac:dyDescent="0.2">
      <c r="A23" s="2">
        <f>IFERROR(VLOOKUP(B23,'[1]DADOS (OCULTAR)'!$P$3:$R$53,3,0),"")</f>
        <v>9039744000941</v>
      </c>
      <c r="B23" s="3" t="s">
        <v>9</v>
      </c>
      <c r="C23" s="4">
        <v>2512303000119</v>
      </c>
      <c r="D23" s="5" t="s">
        <v>15</v>
      </c>
      <c r="E23" s="6">
        <v>4</v>
      </c>
      <c r="F23" s="7">
        <v>41641</v>
      </c>
      <c r="G23" s="7">
        <v>42036</v>
      </c>
      <c r="H23" s="8">
        <f>2425*12</f>
        <v>29100</v>
      </c>
      <c r="I23" s="9" t="s">
        <v>11</v>
      </c>
    </row>
    <row r="24" spans="1:9" ht="21" customHeight="1" x14ac:dyDescent="0.2">
      <c r="A24" s="2">
        <f>IFERROR(VLOOKUP(B24,'[1]DADOS (OCULTAR)'!$P$3:$R$53,3,0),"")</f>
        <v>9039744000941</v>
      </c>
      <c r="B24" s="3" t="s">
        <v>9</v>
      </c>
      <c r="C24" s="4">
        <v>2512303000119</v>
      </c>
      <c r="D24" s="5" t="s">
        <v>15</v>
      </c>
      <c r="E24" s="6">
        <v>5</v>
      </c>
      <c r="F24" s="7">
        <v>42036</v>
      </c>
      <c r="G24" s="7">
        <v>42371</v>
      </c>
      <c r="H24" s="8">
        <f>2555*12</f>
        <v>30660</v>
      </c>
      <c r="I24" s="9" t="s">
        <v>11</v>
      </c>
    </row>
    <row r="25" spans="1:9" ht="21" customHeight="1" x14ac:dyDescent="0.2">
      <c r="A25" s="2">
        <f>IFERROR(VLOOKUP(B25,'[1]DADOS (OCULTAR)'!$P$3:$R$53,3,0),"")</f>
        <v>9039744000941</v>
      </c>
      <c r="B25" s="3" t="s">
        <v>9</v>
      </c>
      <c r="C25" s="4">
        <v>2512303000119</v>
      </c>
      <c r="D25" s="5" t="s">
        <v>15</v>
      </c>
      <c r="E25" s="6">
        <v>6</v>
      </c>
      <c r="F25" s="7">
        <v>42371</v>
      </c>
      <c r="G25" s="7">
        <v>43102</v>
      </c>
      <c r="H25" s="8">
        <f>3355*12</f>
        <v>40260</v>
      </c>
      <c r="I25" s="9" t="s">
        <v>11</v>
      </c>
    </row>
    <row r="26" spans="1:9" ht="21" customHeight="1" x14ac:dyDescent="0.2">
      <c r="A26" s="2">
        <f>IFERROR(VLOOKUP(B26,'[1]DADOS (OCULTAR)'!$P$3:$R$53,3,0),"")</f>
        <v>9039744000941</v>
      </c>
      <c r="B26" s="3" t="s">
        <v>9</v>
      </c>
      <c r="C26" s="4">
        <v>2512303000119</v>
      </c>
      <c r="D26" s="5" t="s">
        <v>15</v>
      </c>
      <c r="E26" s="6">
        <v>7</v>
      </c>
      <c r="F26" s="7">
        <v>43102</v>
      </c>
      <c r="G26" s="7">
        <v>43191</v>
      </c>
      <c r="H26" s="8">
        <f>3355*12</f>
        <v>40260</v>
      </c>
      <c r="I26" s="9" t="s">
        <v>11</v>
      </c>
    </row>
    <row r="27" spans="1:9" ht="21" customHeight="1" x14ac:dyDescent="0.2">
      <c r="A27" s="2">
        <f>IFERROR(VLOOKUP(B27,'[1]DADOS (OCULTAR)'!$P$3:$R$53,3,0),"")</f>
        <v>9039744000941</v>
      </c>
      <c r="B27" s="3" t="s">
        <v>9</v>
      </c>
      <c r="C27" s="4">
        <v>2512303000119</v>
      </c>
      <c r="D27" s="5" t="s">
        <v>15</v>
      </c>
      <c r="E27" s="6">
        <v>8</v>
      </c>
      <c r="F27" s="7">
        <v>43191</v>
      </c>
      <c r="G27" s="7">
        <v>44166</v>
      </c>
      <c r="H27" s="8">
        <f>3610*12</f>
        <v>43320</v>
      </c>
      <c r="I27" s="9" t="s">
        <v>11</v>
      </c>
    </row>
    <row r="28" spans="1:9" ht="21" customHeight="1" x14ac:dyDescent="0.2">
      <c r="A28" s="2">
        <f>IFERROR(VLOOKUP(B28,'[1]DADOS (OCULTAR)'!$P$3:$R$53,3,0),"")</f>
        <v>9039744000941</v>
      </c>
      <c r="B28" s="3" t="s">
        <v>9</v>
      </c>
      <c r="C28" s="4">
        <v>10229013000190</v>
      </c>
      <c r="D28" s="5" t="s">
        <v>16</v>
      </c>
      <c r="E28" s="6">
        <v>1</v>
      </c>
      <c r="F28" s="7">
        <v>41306</v>
      </c>
      <c r="G28" s="7">
        <v>41508</v>
      </c>
      <c r="H28" s="8">
        <f>28431.1*12</f>
        <v>341173.19999999995</v>
      </c>
      <c r="I28" s="9" t="s">
        <v>11</v>
      </c>
    </row>
    <row r="29" spans="1:9" ht="21" customHeight="1" x14ac:dyDescent="0.2">
      <c r="A29" s="2">
        <f>IFERROR(VLOOKUP(B29,'[1]DADOS (OCULTAR)'!$P$3:$R$53,3,0),"")</f>
        <v>9039744000941</v>
      </c>
      <c r="B29" s="3" t="s">
        <v>9</v>
      </c>
      <c r="C29" s="4">
        <v>10229013000190</v>
      </c>
      <c r="D29" s="5" t="s">
        <v>16</v>
      </c>
      <c r="E29" s="6">
        <v>2</v>
      </c>
      <c r="F29" s="7">
        <v>41508</v>
      </c>
      <c r="G29" s="7">
        <v>41671</v>
      </c>
      <c r="H29" s="8">
        <f>28890.41*12</f>
        <v>346684.92</v>
      </c>
      <c r="I29" s="9" t="s">
        <v>11</v>
      </c>
    </row>
    <row r="30" spans="1:9" ht="21" customHeight="1" x14ac:dyDescent="0.2">
      <c r="A30" s="2">
        <f>IFERROR(VLOOKUP(B30,'[1]DADOS (OCULTAR)'!$P$3:$R$53,3,0),"")</f>
        <v>9039744000941</v>
      </c>
      <c r="B30" s="3" t="s">
        <v>9</v>
      </c>
      <c r="C30" s="4">
        <v>10229013000190</v>
      </c>
      <c r="D30" s="5" t="s">
        <v>16</v>
      </c>
      <c r="E30" s="6">
        <v>3</v>
      </c>
      <c r="F30" s="7">
        <v>41671</v>
      </c>
      <c r="G30" s="7">
        <v>41821</v>
      </c>
      <c r="H30" s="8">
        <f>30457.43*12</f>
        <v>365489.16000000003</v>
      </c>
      <c r="I30" s="9" t="s">
        <v>11</v>
      </c>
    </row>
    <row r="31" spans="1:9" ht="21" customHeight="1" x14ac:dyDescent="0.2">
      <c r="A31" s="2">
        <f>IFERROR(VLOOKUP(B31,'[1]DADOS (OCULTAR)'!$P$3:$R$53,3,0),"")</f>
        <v>9039744000941</v>
      </c>
      <c r="B31" s="3" t="s">
        <v>9</v>
      </c>
      <c r="C31" s="4">
        <v>10229013000190</v>
      </c>
      <c r="D31" s="5" t="s">
        <v>16</v>
      </c>
      <c r="E31" s="6">
        <v>4</v>
      </c>
      <c r="F31" s="7">
        <v>41821</v>
      </c>
      <c r="G31" s="7">
        <v>42037</v>
      </c>
      <c r="H31" s="8">
        <f>33196.5*12</f>
        <v>398358</v>
      </c>
      <c r="I31" s="9" t="s">
        <v>11</v>
      </c>
    </row>
    <row r="32" spans="1:9" ht="21" customHeight="1" x14ac:dyDescent="0.2">
      <c r="A32" s="2">
        <f>IFERROR(VLOOKUP(B32,'[1]DADOS (OCULTAR)'!$P$3:$R$53,3,0),"")</f>
        <v>9039744000941</v>
      </c>
      <c r="B32" s="3" t="s">
        <v>9</v>
      </c>
      <c r="C32" s="4">
        <v>10229013000190</v>
      </c>
      <c r="D32" s="5" t="s">
        <v>16</v>
      </c>
      <c r="E32" s="6">
        <v>5</v>
      </c>
      <c r="F32" s="7">
        <v>42037</v>
      </c>
      <c r="G32" s="7">
        <v>42402</v>
      </c>
      <c r="H32" s="8">
        <f>35544.16*12</f>
        <v>426529.92000000004</v>
      </c>
      <c r="I32" s="9" t="s">
        <v>11</v>
      </c>
    </row>
    <row r="33" spans="1:9" ht="21" customHeight="1" x14ac:dyDescent="0.2">
      <c r="A33" s="2">
        <f>IFERROR(VLOOKUP(B33,'[1]DADOS (OCULTAR)'!$P$3:$R$53,3,0),"")</f>
        <v>9039744000941</v>
      </c>
      <c r="B33" s="3" t="s">
        <v>9</v>
      </c>
      <c r="C33" s="4">
        <v>10229013000190</v>
      </c>
      <c r="D33" s="5" t="s">
        <v>16</v>
      </c>
      <c r="E33" s="6">
        <v>6</v>
      </c>
      <c r="F33" s="7">
        <v>42402</v>
      </c>
      <c r="G33" s="7">
        <v>42780</v>
      </c>
      <c r="H33" s="8">
        <f>39623.65*12</f>
        <v>475483.80000000005</v>
      </c>
      <c r="I33" s="9" t="s">
        <v>11</v>
      </c>
    </row>
    <row r="34" spans="1:9" ht="21" customHeight="1" x14ac:dyDescent="0.2">
      <c r="A34" s="2">
        <f>IFERROR(VLOOKUP(B34,'[1]DADOS (OCULTAR)'!$P$3:$R$53,3,0),"")</f>
        <v>9039744000941</v>
      </c>
      <c r="B34" s="3" t="s">
        <v>9</v>
      </c>
      <c r="C34" s="4">
        <v>10229013000190</v>
      </c>
      <c r="D34" s="5" t="s">
        <v>16</v>
      </c>
      <c r="E34" s="6">
        <v>7</v>
      </c>
      <c r="F34" s="7">
        <v>42780</v>
      </c>
      <c r="G34" s="7">
        <v>43229</v>
      </c>
      <c r="H34" s="8">
        <f>42102.03*12</f>
        <v>505224.36</v>
      </c>
      <c r="I34" s="9" t="s">
        <v>11</v>
      </c>
    </row>
    <row r="35" spans="1:9" ht="21" customHeight="1" x14ac:dyDescent="0.2">
      <c r="A35" s="2">
        <f>IFERROR(VLOOKUP(B35,'[1]DADOS (OCULTAR)'!$P$3:$R$53,3,0),"")</f>
        <v>9039744000941</v>
      </c>
      <c r="B35" s="3" t="s">
        <v>9</v>
      </c>
      <c r="C35" s="4">
        <v>10229013000190</v>
      </c>
      <c r="D35" s="5" t="s">
        <v>16</v>
      </c>
      <c r="E35" s="6">
        <v>8</v>
      </c>
      <c r="F35" s="7">
        <v>43229</v>
      </c>
      <c r="G35" s="7">
        <v>44166</v>
      </c>
      <c r="H35" s="8">
        <f>42952.07*12</f>
        <v>515424.83999999997</v>
      </c>
      <c r="I35" s="9" t="s">
        <v>11</v>
      </c>
    </row>
    <row r="36" spans="1:9" ht="21" customHeight="1" x14ac:dyDescent="0.2">
      <c r="A36" s="2">
        <f>IFERROR(VLOOKUP(B36,'[1]DADOS (OCULTAR)'!$P$3:$R$53,3,0),"")</f>
        <v>9039744000941</v>
      </c>
      <c r="B36" s="3" t="s">
        <v>9</v>
      </c>
      <c r="C36" s="4">
        <v>6272575004803</v>
      </c>
      <c r="D36" s="5" t="s">
        <v>17</v>
      </c>
      <c r="E36" s="6">
        <v>1</v>
      </c>
      <c r="F36" s="7">
        <v>42156</v>
      </c>
      <c r="G36" s="7">
        <v>42156</v>
      </c>
      <c r="H36" s="10">
        <f>4371.69*12</f>
        <v>52460.28</v>
      </c>
      <c r="I36" s="9" t="s">
        <v>11</v>
      </c>
    </row>
    <row r="37" spans="1:9" ht="21" customHeight="1" x14ac:dyDescent="0.2">
      <c r="A37" s="2">
        <f>IFERROR(VLOOKUP(B37,'[1]DADOS (OCULTAR)'!$P$3:$R$53,3,0),"")</f>
        <v>9039744000941</v>
      </c>
      <c r="B37" s="3" t="s">
        <v>9</v>
      </c>
      <c r="C37" s="4">
        <v>6272575004803</v>
      </c>
      <c r="D37" s="5" t="s">
        <v>17</v>
      </c>
      <c r="E37" s="6">
        <v>2</v>
      </c>
      <c r="F37" s="7">
        <v>42156</v>
      </c>
      <c r="G37" s="7">
        <v>43118</v>
      </c>
      <c r="H37" s="10">
        <f>5469.03*12</f>
        <v>65628.36</v>
      </c>
      <c r="I37" s="9" t="s">
        <v>11</v>
      </c>
    </row>
    <row r="38" spans="1:9" ht="21" customHeight="1" x14ac:dyDescent="0.2">
      <c r="A38" s="2">
        <f>IFERROR(VLOOKUP(B38,'[1]DADOS (OCULTAR)'!$P$3:$R$53,3,0),"")</f>
        <v>9039744000941</v>
      </c>
      <c r="B38" s="3" t="s">
        <v>9</v>
      </c>
      <c r="C38" s="4">
        <v>6272575004803</v>
      </c>
      <c r="D38" s="5" t="s">
        <v>17</v>
      </c>
      <c r="E38" s="6">
        <v>3</v>
      </c>
      <c r="F38" s="7">
        <v>43118</v>
      </c>
      <c r="G38" s="7">
        <v>43010</v>
      </c>
      <c r="H38" s="10">
        <f>5957.18*12</f>
        <v>71486.16</v>
      </c>
      <c r="I38" s="9" t="s">
        <v>11</v>
      </c>
    </row>
    <row r="39" spans="1:9" ht="21" customHeight="1" x14ac:dyDescent="0.2">
      <c r="A39" s="2">
        <f>IFERROR(VLOOKUP(B39,'[1]DADOS (OCULTAR)'!$P$3:$R$53,3,0),"")</f>
        <v>9039744000941</v>
      </c>
      <c r="B39" s="3" t="s">
        <v>9</v>
      </c>
      <c r="C39" s="4">
        <v>6272575004803</v>
      </c>
      <c r="D39" s="5" t="s">
        <v>17</v>
      </c>
      <c r="E39" s="6">
        <v>4</v>
      </c>
      <c r="F39" s="7">
        <v>43010</v>
      </c>
      <c r="G39" s="7">
        <v>44166</v>
      </c>
      <c r="H39" s="10">
        <f>6567.62*12</f>
        <v>78811.44</v>
      </c>
      <c r="I39" s="9" t="s">
        <v>11</v>
      </c>
    </row>
    <row r="40" spans="1:9" ht="21" customHeight="1" x14ac:dyDescent="0.2">
      <c r="A40" s="2">
        <f>IFERROR(VLOOKUP(B40,'[1]DADOS (OCULTAR)'!$P$3:$R$53,3,0),"")</f>
        <v>9039744000941</v>
      </c>
      <c r="B40" s="3" t="s">
        <v>9</v>
      </c>
      <c r="C40" s="4">
        <v>9014387000100</v>
      </c>
      <c r="D40" s="5" t="s">
        <v>18</v>
      </c>
      <c r="E40" s="6">
        <v>1</v>
      </c>
      <c r="F40" s="7">
        <v>42064</v>
      </c>
      <c r="G40" s="7">
        <v>43838</v>
      </c>
      <c r="H40" s="8">
        <f>3980.13*12</f>
        <v>47761.56</v>
      </c>
      <c r="I40" s="9" t="s">
        <v>11</v>
      </c>
    </row>
    <row r="41" spans="1:9" ht="21" customHeight="1" x14ac:dyDescent="0.2">
      <c r="A41" s="2">
        <f>IFERROR(VLOOKUP(B41,'[1]DADOS (OCULTAR)'!$P$3:$R$53,3,0),"")</f>
        <v>9039744000941</v>
      </c>
      <c r="B41" s="3" t="s">
        <v>9</v>
      </c>
      <c r="C41" s="4">
        <v>9014387000100</v>
      </c>
      <c r="D41" s="5" t="s">
        <v>18</v>
      </c>
      <c r="E41" s="6">
        <v>2</v>
      </c>
      <c r="F41" s="7">
        <v>43838</v>
      </c>
      <c r="G41" s="7">
        <v>44204</v>
      </c>
      <c r="H41" s="8">
        <f>4240.13*12</f>
        <v>50881.56</v>
      </c>
      <c r="I41" s="9" t="s">
        <v>11</v>
      </c>
    </row>
    <row r="42" spans="1:9" ht="21" customHeight="1" x14ac:dyDescent="0.2">
      <c r="A42" s="2">
        <f>IFERROR(VLOOKUP(B42,'[1]DADOS (OCULTAR)'!$P$3:$R$53,3,0),"")</f>
        <v>9039744000941</v>
      </c>
      <c r="B42" s="3" t="s">
        <v>9</v>
      </c>
      <c r="C42" s="4">
        <v>58426628000133</v>
      </c>
      <c r="D42" s="5" t="s">
        <v>19</v>
      </c>
      <c r="E42" s="6">
        <v>1</v>
      </c>
      <c r="F42" s="7">
        <v>43308</v>
      </c>
      <c r="G42" s="7">
        <v>44166</v>
      </c>
      <c r="H42" s="10">
        <v>13440</v>
      </c>
      <c r="I42" s="9" t="s">
        <v>11</v>
      </c>
    </row>
    <row r="43" spans="1:9" ht="21" customHeight="1" x14ac:dyDescent="0.2">
      <c r="A43" s="2">
        <f>IFERROR(VLOOKUP(B43,'[1]DADOS (OCULTAR)'!$P$3:$R$53,3,0),"")</f>
        <v>9039744000941</v>
      </c>
      <c r="B43" s="3" t="s">
        <v>9</v>
      </c>
      <c r="C43" s="4">
        <v>24380578002041</v>
      </c>
      <c r="D43" s="5" t="s">
        <v>20</v>
      </c>
      <c r="E43" s="6">
        <v>1</v>
      </c>
      <c r="F43" s="11">
        <v>40827</v>
      </c>
      <c r="G43" s="11">
        <v>41775</v>
      </c>
      <c r="H43" s="8">
        <f>34746.57-(38607.3*5%)</f>
        <v>32816.205000000002</v>
      </c>
      <c r="I43" s="9" t="s">
        <v>11</v>
      </c>
    </row>
    <row r="44" spans="1:9" ht="21" customHeight="1" x14ac:dyDescent="0.2">
      <c r="A44" s="2">
        <f>IFERROR(VLOOKUP(B44,'[1]DADOS (OCULTAR)'!$P$3:$R$53,3,0),"")</f>
        <v>9039744000941</v>
      </c>
      <c r="B44" s="3" t="s">
        <v>9</v>
      </c>
      <c r="C44" s="4">
        <v>24380578002041</v>
      </c>
      <c r="D44" s="5" t="s">
        <v>20</v>
      </c>
      <c r="E44" s="6">
        <v>2</v>
      </c>
      <c r="F44" s="11">
        <v>41775</v>
      </c>
      <c r="G44" s="11">
        <v>43221</v>
      </c>
      <c r="H44" s="8">
        <f>38607.3-(38607.3*10%)</f>
        <v>34746.57</v>
      </c>
      <c r="I44" s="9" t="s">
        <v>11</v>
      </c>
    </row>
    <row r="45" spans="1:9" ht="21" customHeight="1" x14ac:dyDescent="0.2">
      <c r="A45" s="2">
        <f>IFERROR(VLOOKUP(B45,'[1]DADOS (OCULTAR)'!$P$3:$R$53,3,0),"")</f>
        <v>9039744000941</v>
      </c>
      <c r="B45" s="3" t="s">
        <v>9</v>
      </c>
      <c r="C45" s="4">
        <v>24380578002041</v>
      </c>
      <c r="D45" s="5" t="s">
        <v>20</v>
      </c>
      <c r="E45" s="6">
        <v>3</v>
      </c>
      <c r="F45" s="11">
        <v>43221</v>
      </c>
      <c r="G45" s="11">
        <v>43586</v>
      </c>
      <c r="H45" s="8">
        <f>42897-(42897*10%)</f>
        <v>38607.300000000003</v>
      </c>
      <c r="I45" s="9" t="s">
        <v>11</v>
      </c>
    </row>
    <row r="46" spans="1:9" ht="21" customHeight="1" x14ac:dyDescent="0.2">
      <c r="A46" s="2">
        <f>IFERROR(VLOOKUP(B46,'[1]DADOS (OCULTAR)'!$P$3:$R$53,3,0),"")</f>
        <v>9039744000941</v>
      </c>
      <c r="B46" s="3" t="s">
        <v>9</v>
      </c>
      <c r="C46" s="4">
        <v>24380578002041</v>
      </c>
      <c r="D46" s="5" t="s">
        <v>20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11</v>
      </c>
    </row>
    <row r="47" spans="1:9" ht="21" customHeight="1" x14ac:dyDescent="0.2">
      <c r="A47" s="2">
        <f>IFERROR(VLOOKUP(B47,'[1]DADOS (OCULTAR)'!$P$3:$R$53,3,0),"")</f>
        <v>9039744000941</v>
      </c>
      <c r="B47" s="3" t="s">
        <v>9</v>
      </c>
      <c r="C47" s="4">
        <v>7146768000117</v>
      </c>
      <c r="D47" s="5" t="s">
        <v>21</v>
      </c>
      <c r="E47" s="6">
        <v>1</v>
      </c>
      <c r="F47" s="11">
        <v>42774</v>
      </c>
      <c r="G47" s="11">
        <v>43164</v>
      </c>
      <c r="H47" s="8">
        <f>2300*12</f>
        <v>27600</v>
      </c>
      <c r="I47" s="9" t="s">
        <v>11</v>
      </c>
    </row>
    <row r="48" spans="1:9" ht="21" customHeight="1" x14ac:dyDescent="0.2">
      <c r="A48" s="2">
        <f>IFERROR(VLOOKUP(B48,'[1]DADOS (OCULTAR)'!$P$3:$R$53,3,0),"")</f>
        <v>9039744000941</v>
      </c>
      <c r="B48" s="3" t="s">
        <v>9</v>
      </c>
      <c r="C48" s="4">
        <v>7146768000117</v>
      </c>
      <c r="D48" s="5" t="s">
        <v>21</v>
      </c>
      <c r="E48" s="6">
        <v>2</v>
      </c>
      <c r="F48" s="11">
        <v>43164</v>
      </c>
      <c r="G48" s="11">
        <v>43195</v>
      </c>
      <c r="H48" s="8">
        <f>2300*12</f>
        <v>27600</v>
      </c>
      <c r="I48" s="9" t="s">
        <v>11</v>
      </c>
    </row>
    <row r="49" spans="1:9" ht="21" customHeight="1" x14ac:dyDescent="0.2">
      <c r="A49" s="2">
        <f>IFERROR(VLOOKUP(B49,'[1]DADOS (OCULTAR)'!$P$3:$R$53,3,0),"")</f>
        <v>9039744000941</v>
      </c>
      <c r="B49" s="3" t="s">
        <v>9</v>
      </c>
      <c r="C49" s="4">
        <v>7146768000117</v>
      </c>
      <c r="D49" s="5" t="s">
        <v>21</v>
      </c>
      <c r="E49" s="6">
        <v>3</v>
      </c>
      <c r="F49" s="11">
        <v>43195</v>
      </c>
      <c r="G49" s="11">
        <v>43525</v>
      </c>
      <c r="H49" s="8">
        <f>2000*12</f>
        <v>24000</v>
      </c>
      <c r="I49" s="9" t="s">
        <v>11</v>
      </c>
    </row>
    <row r="50" spans="1:9" ht="21" customHeight="1" x14ac:dyDescent="0.2">
      <c r="A50" s="2">
        <f>IFERROR(VLOOKUP(B50,'[1]DADOS (OCULTAR)'!$P$3:$R$53,3,0),"")</f>
        <v>9039744000941</v>
      </c>
      <c r="B50" s="3" t="s">
        <v>9</v>
      </c>
      <c r="C50" s="4">
        <v>7146768000117</v>
      </c>
      <c r="D50" s="5" t="s">
        <v>21</v>
      </c>
      <c r="E50" s="6">
        <v>4</v>
      </c>
      <c r="F50" s="11">
        <v>43525</v>
      </c>
      <c r="G50" s="11">
        <v>43800</v>
      </c>
      <c r="H50" s="8">
        <f>2059*12</f>
        <v>24708</v>
      </c>
      <c r="I50" s="9" t="s">
        <v>11</v>
      </c>
    </row>
    <row r="51" spans="1:9" ht="21" customHeight="1" x14ac:dyDescent="0.2">
      <c r="A51" s="2">
        <f>IFERROR(VLOOKUP(B51,'[1]DADOS (OCULTAR)'!$P$3:$R$53,3,0),"")</f>
        <v>9039744000941</v>
      </c>
      <c r="B51" s="3" t="s">
        <v>9</v>
      </c>
      <c r="C51" s="4">
        <v>10279299000119</v>
      </c>
      <c r="D51" s="5" t="s">
        <v>22</v>
      </c>
      <c r="E51" s="6">
        <v>1</v>
      </c>
      <c r="F51" s="11">
        <v>40817</v>
      </c>
      <c r="G51" s="11">
        <v>40925</v>
      </c>
      <c r="H51" s="10">
        <f>(0.03*50000)*12</f>
        <v>18000</v>
      </c>
      <c r="I51" s="9" t="s">
        <v>11</v>
      </c>
    </row>
    <row r="52" spans="1:9" ht="21" customHeight="1" x14ac:dyDescent="0.2">
      <c r="A52" s="2">
        <f>IFERROR(VLOOKUP(B52,'[1]DADOS (OCULTAR)'!$P$3:$R$53,3,0),"")</f>
        <v>9039744000941</v>
      </c>
      <c r="B52" s="3" t="s">
        <v>9</v>
      </c>
      <c r="C52" s="4">
        <v>10279299000119</v>
      </c>
      <c r="D52" s="5" t="s">
        <v>22</v>
      </c>
      <c r="E52" s="6">
        <v>2</v>
      </c>
      <c r="F52" s="11">
        <v>40925</v>
      </c>
      <c r="G52" s="11">
        <v>43257</v>
      </c>
      <c r="H52" s="10">
        <f>(0.035*50000)*12</f>
        <v>21000.000000000004</v>
      </c>
      <c r="I52" s="9" t="s">
        <v>11</v>
      </c>
    </row>
    <row r="53" spans="1:9" ht="21" customHeight="1" x14ac:dyDescent="0.2">
      <c r="A53" s="2">
        <f>IFERROR(VLOOKUP(B53,'[1]DADOS (OCULTAR)'!$P$3:$R$53,3,0),"")</f>
        <v>9039744000941</v>
      </c>
      <c r="B53" s="3" t="s">
        <v>9</v>
      </c>
      <c r="C53" s="4">
        <v>10279299000119</v>
      </c>
      <c r="D53" s="5" t="s">
        <v>22</v>
      </c>
      <c r="E53" s="6">
        <v>3</v>
      </c>
      <c r="F53" s="11">
        <v>43257</v>
      </c>
      <c r="G53" s="11">
        <v>43920</v>
      </c>
      <c r="H53" s="10">
        <f>(0.04*50000)*12</f>
        <v>24000</v>
      </c>
      <c r="I53" s="9" t="s">
        <v>11</v>
      </c>
    </row>
    <row r="54" spans="1:9" ht="21" customHeight="1" x14ac:dyDescent="0.2">
      <c r="A54" s="2">
        <f>IFERROR(VLOOKUP(B54,'[1]DADOS (OCULTAR)'!$P$3:$R$53,3,0),"")</f>
        <v>9039744000941</v>
      </c>
      <c r="B54" s="3" t="s">
        <v>9</v>
      </c>
      <c r="C54" s="4">
        <v>10279299000119</v>
      </c>
      <c r="D54" s="5" t="s">
        <v>22</v>
      </c>
      <c r="E54" s="6">
        <v>4</v>
      </c>
      <c r="F54" s="12">
        <v>43920</v>
      </c>
      <c r="G54" s="12">
        <v>44285</v>
      </c>
      <c r="H54" s="10">
        <f>(0.045*50000)*12</f>
        <v>27000</v>
      </c>
      <c r="I54" s="9" t="s">
        <v>11</v>
      </c>
    </row>
    <row r="55" spans="1:9" ht="21" customHeight="1" x14ac:dyDescent="0.2">
      <c r="A55" s="2">
        <f>IFERROR(VLOOKUP(B55,'[1]DADOS (OCULTAR)'!$P$3:$R$53,3,0),"")</f>
        <v>9039744000941</v>
      </c>
      <c r="B55" s="3" t="s">
        <v>9</v>
      </c>
      <c r="C55" s="13">
        <v>11863530000180</v>
      </c>
      <c r="D55" s="14" t="s">
        <v>23</v>
      </c>
      <c r="E55" s="15">
        <v>1</v>
      </c>
      <c r="F55" s="16">
        <v>43129</v>
      </c>
      <c r="G55" s="16">
        <v>44196</v>
      </c>
      <c r="H55" s="17">
        <f>1935*12</f>
        <v>23220</v>
      </c>
      <c r="I55" s="18" t="s">
        <v>11</v>
      </c>
    </row>
    <row r="56" spans="1:9" ht="21" customHeight="1" x14ac:dyDescent="0.2">
      <c r="A56" s="2">
        <f>IFERROR(VLOOKUP(B56,'[1]DADOS (OCULTAR)'!$P$3:$R$53,3,0),"")</f>
        <v>9039744000941</v>
      </c>
      <c r="B56" s="3" t="s">
        <v>9</v>
      </c>
      <c r="C56" s="4">
        <v>8845988000100</v>
      </c>
      <c r="D56" s="5" t="s">
        <v>24</v>
      </c>
      <c r="E56" s="6">
        <v>1</v>
      </c>
      <c r="F56" s="11">
        <v>42491</v>
      </c>
      <c r="G56" s="11">
        <v>42856</v>
      </c>
      <c r="H56" s="10">
        <f>295*12</f>
        <v>3540</v>
      </c>
      <c r="I56" s="9" t="s">
        <v>11</v>
      </c>
    </row>
    <row r="57" spans="1:9" ht="21" customHeight="1" x14ac:dyDescent="0.2">
      <c r="A57" s="2">
        <f>IFERROR(VLOOKUP(B57,'[1]DADOS (OCULTAR)'!$P$3:$R$53,3,0),"")</f>
        <v>9039744000941</v>
      </c>
      <c r="B57" s="3" t="s">
        <v>9</v>
      </c>
      <c r="C57" s="4">
        <v>8845988000100</v>
      </c>
      <c r="D57" s="5" t="s">
        <v>24</v>
      </c>
      <c r="E57" s="6">
        <v>2</v>
      </c>
      <c r="F57" s="11">
        <v>42856</v>
      </c>
      <c r="G57" s="11">
        <v>43647</v>
      </c>
      <c r="H57" s="10">
        <f>322.38*12</f>
        <v>3868.56</v>
      </c>
      <c r="I57" s="9" t="s">
        <v>11</v>
      </c>
    </row>
    <row r="58" spans="1:9" ht="21" customHeight="1" x14ac:dyDescent="0.2">
      <c r="A58" s="2">
        <f>IFERROR(VLOOKUP(B58,'[1]DADOS (OCULTAR)'!$P$3:$R$53,3,0),"")</f>
        <v>9039744000941</v>
      </c>
      <c r="B58" s="3" t="s">
        <v>9</v>
      </c>
      <c r="C58" s="4">
        <v>8845988000100</v>
      </c>
      <c r="D58" s="5" t="s">
        <v>24</v>
      </c>
      <c r="E58" s="6">
        <v>3</v>
      </c>
      <c r="F58" s="11">
        <v>43647</v>
      </c>
      <c r="G58" s="11">
        <v>43800</v>
      </c>
      <c r="H58" s="10">
        <f>356.36*12</f>
        <v>4276.32</v>
      </c>
      <c r="I58" s="9" t="s">
        <v>11</v>
      </c>
    </row>
    <row r="59" spans="1:9" ht="21" customHeight="1" x14ac:dyDescent="0.2">
      <c r="A59" s="2">
        <f>IFERROR(VLOOKUP(B59,'[1]DADOS (OCULTAR)'!$P$3:$R$53,3,0),"")</f>
        <v>9039744000941</v>
      </c>
      <c r="B59" s="3" t="s">
        <v>9</v>
      </c>
      <c r="C59" s="4">
        <v>9315554000152</v>
      </c>
      <c r="D59" s="5" t="s">
        <v>25</v>
      </c>
      <c r="E59" s="6">
        <v>1</v>
      </c>
      <c r="F59" s="11">
        <v>42361</v>
      </c>
      <c r="G59" s="11">
        <v>42774</v>
      </c>
      <c r="H59" s="8">
        <f>600*12</f>
        <v>7200</v>
      </c>
      <c r="I59" s="9" t="s">
        <v>11</v>
      </c>
    </row>
    <row r="60" spans="1:9" ht="21" customHeight="1" x14ac:dyDescent="0.2">
      <c r="A60" s="2">
        <f>IFERROR(VLOOKUP(B60,'[1]DADOS (OCULTAR)'!$P$3:$R$53,3,0),"")</f>
        <v>9039744000941</v>
      </c>
      <c r="B60" s="3" t="s">
        <v>9</v>
      </c>
      <c r="C60" s="4">
        <v>9315554000152</v>
      </c>
      <c r="D60" s="5" t="s">
        <v>25</v>
      </c>
      <c r="E60" s="6">
        <v>2</v>
      </c>
      <c r="F60" s="11">
        <v>42774</v>
      </c>
      <c r="G60" s="11">
        <v>43467</v>
      </c>
      <c r="H60" s="8">
        <f>637.14*12</f>
        <v>7645.68</v>
      </c>
      <c r="I60" s="9" t="s">
        <v>11</v>
      </c>
    </row>
    <row r="61" spans="1:9" ht="21" customHeight="1" x14ac:dyDescent="0.2">
      <c r="A61" s="2">
        <f>IFERROR(VLOOKUP(B61,'[1]DADOS (OCULTAR)'!$P$3:$R$53,3,0),"")</f>
        <v>9039744000941</v>
      </c>
      <c r="B61" s="3" t="s">
        <v>9</v>
      </c>
      <c r="C61" s="4">
        <v>9315554000152</v>
      </c>
      <c r="D61" s="5" t="s">
        <v>25</v>
      </c>
      <c r="E61" s="6">
        <v>3</v>
      </c>
      <c r="F61" s="11">
        <v>43467</v>
      </c>
      <c r="G61" s="11">
        <v>44166</v>
      </c>
      <c r="H61" s="8">
        <f>661*12</f>
        <v>7932</v>
      </c>
      <c r="I61" s="9" t="s">
        <v>11</v>
      </c>
    </row>
    <row r="62" spans="1:9" ht="21" customHeight="1" x14ac:dyDescent="0.2">
      <c r="A62" s="2">
        <f>IFERROR(VLOOKUP(B62,'[1]DADOS (OCULTAR)'!$P$3:$R$53,3,0),"")</f>
        <v>9039744000941</v>
      </c>
      <c r="B62" s="3" t="s">
        <v>9</v>
      </c>
      <c r="C62" s="4">
        <v>1141468000169</v>
      </c>
      <c r="D62" s="5" t="s">
        <v>26</v>
      </c>
      <c r="E62" s="6">
        <v>1</v>
      </c>
      <c r="F62" s="11">
        <v>43196</v>
      </c>
      <c r="G62" s="11">
        <v>43647</v>
      </c>
      <c r="H62" s="8">
        <f>340.74*12</f>
        <v>4088.88</v>
      </c>
      <c r="I62" s="9" t="s">
        <v>11</v>
      </c>
    </row>
    <row r="63" spans="1:9" ht="21" customHeight="1" x14ac:dyDescent="0.2">
      <c r="A63" s="2">
        <f>IFERROR(VLOOKUP(B63,'[1]DADOS (OCULTAR)'!$P$3:$R$53,3,0),"")</f>
        <v>9039744000941</v>
      </c>
      <c r="B63" s="3" t="s">
        <v>9</v>
      </c>
      <c r="C63" s="4">
        <v>1141468000169</v>
      </c>
      <c r="D63" s="5" t="s">
        <v>26</v>
      </c>
      <c r="E63" s="6">
        <v>2</v>
      </c>
      <c r="F63" s="11">
        <v>43647</v>
      </c>
      <c r="G63" s="11">
        <v>44166</v>
      </c>
      <c r="H63" s="8">
        <f>356.33*12</f>
        <v>4275.96</v>
      </c>
      <c r="I63" s="9" t="s">
        <v>11</v>
      </c>
    </row>
    <row r="64" spans="1:9" ht="21" customHeight="1" x14ac:dyDescent="0.2">
      <c r="A64" s="2">
        <f>IFERROR(VLOOKUP(B64,'[1]DADOS (OCULTAR)'!$P$3:$R$53,3,0),"")</f>
        <v>9039744000941</v>
      </c>
      <c r="B64" s="3" t="s">
        <v>9</v>
      </c>
      <c r="C64" s="4">
        <v>10859287000163</v>
      </c>
      <c r="D64" s="5" t="s">
        <v>27</v>
      </c>
      <c r="E64" s="6">
        <v>1</v>
      </c>
      <c r="F64" s="11">
        <v>42134</v>
      </c>
      <c r="G64" s="11">
        <v>43206</v>
      </c>
      <c r="H64" s="8">
        <f>1000*12</f>
        <v>12000</v>
      </c>
      <c r="I64" s="9" t="s">
        <v>11</v>
      </c>
    </row>
    <row r="65" spans="1:9" ht="21" customHeight="1" x14ac:dyDescent="0.2">
      <c r="A65" s="2">
        <f>IFERROR(VLOOKUP(B65,'[1]DADOS (OCULTAR)'!$P$3:$R$53,3,0),"")</f>
        <v>9039744000941</v>
      </c>
      <c r="B65" s="3" t="s">
        <v>9</v>
      </c>
      <c r="C65" s="4">
        <v>10859287000163</v>
      </c>
      <c r="D65" s="5" t="s">
        <v>27</v>
      </c>
      <c r="E65" s="6">
        <v>2</v>
      </c>
      <c r="F65" s="11">
        <v>43206</v>
      </c>
      <c r="G65" s="11">
        <v>44166</v>
      </c>
      <c r="H65" s="8">
        <f>880*12</f>
        <v>10560</v>
      </c>
      <c r="I65" s="9" t="s">
        <v>11</v>
      </c>
    </row>
    <row r="66" spans="1:9" ht="21" customHeight="1" x14ac:dyDescent="0.2">
      <c r="A66" s="2">
        <f>IFERROR(VLOOKUP(B66,'[1]DADOS (OCULTAR)'!$P$3:$R$53,3,0),"")</f>
        <v>9039744000941</v>
      </c>
      <c r="B66" s="3" t="s">
        <v>9</v>
      </c>
      <c r="C66" s="4">
        <v>10816775000274</v>
      </c>
      <c r="D66" s="5" t="s">
        <v>28</v>
      </c>
      <c r="E66" s="6">
        <v>1</v>
      </c>
      <c r="F66" s="11">
        <v>42006</v>
      </c>
      <c r="G66" s="11">
        <v>42126</v>
      </c>
      <c r="H66" s="8">
        <f>360*12</f>
        <v>4320</v>
      </c>
      <c r="I66" s="9" t="s">
        <v>11</v>
      </c>
    </row>
    <row r="67" spans="1:9" ht="21" customHeight="1" x14ac:dyDescent="0.2">
      <c r="A67" s="2">
        <f>IFERROR(VLOOKUP(B67,'[1]DADOS (OCULTAR)'!$P$3:$R$53,3,0),"")</f>
        <v>9039744000941</v>
      </c>
      <c r="B67" s="3" t="s">
        <v>9</v>
      </c>
      <c r="C67" s="4">
        <v>10816775000274</v>
      </c>
      <c r="D67" s="5" t="s">
        <v>28</v>
      </c>
      <c r="E67" s="6">
        <v>2</v>
      </c>
      <c r="F67" s="11">
        <v>42126</v>
      </c>
      <c r="G67" s="11">
        <v>42248</v>
      </c>
      <c r="H67" s="8">
        <f>360*12</f>
        <v>4320</v>
      </c>
      <c r="I67" s="9" t="s">
        <v>11</v>
      </c>
    </row>
    <row r="68" spans="1:9" ht="21" customHeight="1" x14ac:dyDescent="0.2">
      <c r="A68" s="2">
        <f>IFERROR(VLOOKUP(B68,'[1]DADOS (OCULTAR)'!$P$3:$R$53,3,0),"")</f>
        <v>9039744000941</v>
      </c>
      <c r="B68" s="3" t="s">
        <v>9</v>
      </c>
      <c r="C68" s="4">
        <v>10816775000274</v>
      </c>
      <c r="D68" s="5" t="s">
        <v>28</v>
      </c>
      <c r="E68" s="6">
        <v>3</v>
      </c>
      <c r="F68" s="11">
        <v>42248</v>
      </c>
      <c r="G68" s="11">
        <v>44166</v>
      </c>
      <c r="H68" s="8">
        <f>360*12</f>
        <v>4320</v>
      </c>
      <c r="I68" s="9" t="s">
        <v>11</v>
      </c>
    </row>
    <row r="69" spans="1:9" ht="21" customHeight="1" x14ac:dyDescent="0.2">
      <c r="A69" s="2">
        <f>IFERROR(VLOOKUP(B69,'[1]DADOS (OCULTAR)'!$P$3:$R$53,3,0),"")</f>
        <v>9039744000941</v>
      </c>
      <c r="B69" s="3" t="s">
        <v>9</v>
      </c>
      <c r="C69" s="4">
        <v>13409775000167</v>
      </c>
      <c r="D69" s="5" t="s">
        <v>29</v>
      </c>
      <c r="E69" s="6">
        <v>1</v>
      </c>
      <c r="F69" s="11">
        <v>43397</v>
      </c>
      <c r="G69" s="11">
        <v>43710</v>
      </c>
      <c r="H69" s="10">
        <f>1277.68*12</f>
        <v>15332.16</v>
      </c>
      <c r="I69" s="9" t="s">
        <v>11</v>
      </c>
    </row>
    <row r="70" spans="1:9" ht="21" customHeight="1" x14ac:dyDescent="0.2">
      <c r="A70" s="2">
        <f>IFERROR(VLOOKUP(B70,'[1]DADOS (OCULTAR)'!$P$3:$R$53,3,0),"")</f>
        <v>9039744000941</v>
      </c>
      <c r="B70" s="3" t="s">
        <v>9</v>
      </c>
      <c r="C70" s="4">
        <v>13409775000167</v>
      </c>
      <c r="D70" s="5" t="s">
        <v>29</v>
      </c>
      <c r="E70" s="6">
        <v>2</v>
      </c>
      <c r="F70" s="11">
        <v>43710</v>
      </c>
      <c r="G70" s="11">
        <v>44166</v>
      </c>
      <c r="H70" s="10">
        <f>1674*12</f>
        <v>20088</v>
      </c>
      <c r="I70" s="9" t="s">
        <v>11</v>
      </c>
    </row>
    <row r="71" spans="1:9" ht="21" customHeight="1" x14ac:dyDescent="0.2">
      <c r="A71" s="2">
        <f>IFERROR(VLOOKUP(B71,'[1]DADOS (OCULTAR)'!$P$3:$R$53,3,0),"")</f>
        <v>9039744000941</v>
      </c>
      <c r="B71" s="3" t="s">
        <v>9</v>
      </c>
      <c r="C71" s="4">
        <v>11735586000159</v>
      </c>
      <c r="D71" s="5" t="s">
        <v>30</v>
      </c>
      <c r="E71" s="6">
        <v>1</v>
      </c>
      <c r="F71" s="11">
        <v>43832</v>
      </c>
      <c r="G71" s="11">
        <v>44198</v>
      </c>
      <c r="H71" s="10">
        <f>826*4</f>
        <v>3304</v>
      </c>
      <c r="I71" s="9" t="s">
        <v>11</v>
      </c>
    </row>
    <row r="72" spans="1:9" ht="21" customHeight="1" x14ac:dyDescent="0.2">
      <c r="A72" s="2">
        <f>IFERROR(VLOOKUP(B72,'[1]DADOS (OCULTAR)'!$P$3:$R$53,3,0),"")</f>
        <v>9039744000941</v>
      </c>
      <c r="B72" s="3" t="s">
        <v>9</v>
      </c>
      <c r="C72" s="4">
        <v>27814653000160</v>
      </c>
      <c r="D72" s="5" t="s">
        <v>31</v>
      </c>
      <c r="E72" s="6">
        <v>1</v>
      </c>
      <c r="F72" s="11">
        <v>43743</v>
      </c>
      <c r="G72" s="11">
        <v>44166</v>
      </c>
      <c r="H72" s="8">
        <v>4801.26</v>
      </c>
      <c r="I72" s="9" t="s">
        <v>11</v>
      </c>
    </row>
    <row r="73" spans="1:9" ht="21" customHeight="1" x14ac:dyDescent="0.2">
      <c r="A73" s="2">
        <f>IFERROR(VLOOKUP(B73,'[1]DADOS (OCULTAR)'!$P$3:$R$53,3,0),"")</f>
        <v>9039744000941</v>
      </c>
      <c r="B73" s="3" t="s">
        <v>9</v>
      </c>
      <c r="C73" s="4">
        <v>17398584000106</v>
      </c>
      <c r="D73" s="5" t="s">
        <v>32</v>
      </c>
      <c r="E73" s="6">
        <v>1</v>
      </c>
      <c r="F73" s="11">
        <v>43739</v>
      </c>
      <c r="G73" s="11">
        <v>44105</v>
      </c>
      <c r="H73" s="8">
        <f>600*12</f>
        <v>7200</v>
      </c>
      <c r="I73" s="9" t="s">
        <v>11</v>
      </c>
    </row>
    <row r="74" spans="1:9" ht="21" customHeight="1" x14ac:dyDescent="0.2">
      <c r="A74" s="2">
        <f>IFERROR(VLOOKUP(B74,'[1]DADOS (OCULTAR)'!$P$3:$R$53,3,0),"")</f>
        <v>9039744000941</v>
      </c>
      <c r="B74" s="3" t="s">
        <v>9</v>
      </c>
      <c r="C74" s="4">
        <v>11343756000150</v>
      </c>
      <c r="D74" s="5" t="s">
        <v>33</v>
      </c>
      <c r="E74" s="6">
        <v>1</v>
      </c>
      <c r="F74" s="11">
        <v>41396</v>
      </c>
      <c r="G74" s="11">
        <v>44166</v>
      </c>
      <c r="H74" s="8">
        <f>250*12</f>
        <v>3000</v>
      </c>
      <c r="I74" s="9" t="s">
        <v>11</v>
      </c>
    </row>
    <row r="75" spans="1:9" ht="21" customHeight="1" x14ac:dyDescent="0.2">
      <c r="A75" s="2" t="str">
        <f>IFERROR(VLOOKUP(B75,'[1]DADOS (OCULTAR)'!$P$3:$R$53,3,0),"")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password="CBB2" sheet="1" formatColumns="0" insertHyperlinks="0" autoFilter="0"/>
  <dataValidations count="1">
    <dataValidation type="list" allowBlank="1" showInputMessage="1" showErrorMessage="1" sqref="B2:B991" xr:uid="{6CC238E5-1C8C-4BA7-B422-31E230557184}">
      <formula1>UNIDADES</formula1>
    </dataValidation>
  </dataValidations>
  <hyperlinks>
    <hyperlink ref="I2" r:id="rId1" xr:uid="{BAED4826-E5A6-411A-A7DF-48A5EEA02DFC}"/>
    <hyperlink ref="I3" r:id="rId2" xr:uid="{A72F8ED0-B60F-4DBF-A17F-1C9DFF561122}"/>
    <hyperlink ref="I4:I24" r:id="rId3" display="https://fpmf-sistemas.org.br/sistemas/aplic/transp/menu_ext_fpmf/" xr:uid="{C1B4ED01-3531-4E96-802C-62F95869D94C}"/>
    <hyperlink ref="I25" r:id="rId4" xr:uid="{71C14A35-6052-4C38-8E9D-3D135EF66633}"/>
    <hyperlink ref="I26:I27" r:id="rId5" display="https://fpmf-sistemas.org.br/sistemas/aplic/transp/menu_ext_fpmf/" xr:uid="{4BF4AD61-87E9-4E48-8C29-B04575598292}"/>
    <hyperlink ref="I28:I38" r:id="rId6" display="https://fpmf-sistemas.org.br/sistemas/aplic/transp/menu_ext_fpmf/" xr:uid="{10BC4BA6-C91C-42A0-925D-9EAEFCB91C8B}"/>
    <hyperlink ref="I39" r:id="rId7" xr:uid="{E55AAD1C-1E42-4FB3-AFF6-84A4A1FA7D8E}"/>
    <hyperlink ref="I40:I46" r:id="rId8" display="https://fpmf-sistemas.org.br/sistemas/aplic/transp/menu_ext_fpmf/" xr:uid="{38D05978-0D12-44E0-9F57-A89D61284FF4}"/>
    <hyperlink ref="I21" r:id="rId9" xr:uid="{6E71BE73-7FD0-4518-B6CD-DBF5624AD016}"/>
    <hyperlink ref="I47:I65" r:id="rId10" display="https://fpmf-sistemas.org.br/sistemas/aplic/transp/menu_ext_fpmf/" xr:uid="{E2318535-B0F7-4807-9681-B8711F4D590B}"/>
    <hyperlink ref="I66" r:id="rId11" xr:uid="{15FEB2A2-7010-4101-BC76-0E0EB50003E6}"/>
    <hyperlink ref="I67:I73" r:id="rId12" display="https://fpmf-sistemas.org.br/sistemas/aplic/transp/menu_ext_fpmf/" xr:uid="{5A83290D-44BC-4C3F-BFBD-652B1D8FCD3C}"/>
    <hyperlink ref="I74" r:id="rId13" xr:uid="{7BF42F40-61ED-44D4-859A-62AC81B0216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UPABARRA-termos aditivos.2020_0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2020-09-04T18:08:30Z</dcterms:created>
  <dcterms:modified xsi:type="dcterms:W3CDTF">2020-09-04T18:09:55Z</dcterms:modified>
</cp:coreProperties>
</file>