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70" windowWidth="20730" windowHeight="11400" firstSheet="13" activeTab="13"/>
  </bookViews>
  <sheets>
    <sheet name="EXECUTADO_-_JUL_-_2017" sheetId="6" state="hidden" r:id="rId1"/>
    <sheet name="EXECUTADO_-_AGO_-_2017 " sheetId="7" state="hidden" r:id="rId2"/>
    <sheet name="EXECUTADO_-_SET_-_2017  " sheetId="8" state="hidden" r:id="rId3"/>
    <sheet name="EXECUTADO_-_OUT_-_2017" sheetId="9" state="hidden" r:id="rId4"/>
    <sheet name="EXECUTADO_-_NOV_-_2017 " sheetId="10" state="hidden" r:id="rId5"/>
    <sheet name="EXECUTADO_-_DEZ_-_2017" sheetId="11" state="hidden" r:id="rId6"/>
    <sheet name="EXECUTADO_-_JAN_-_2018" sheetId="12" state="hidden" r:id="rId7"/>
    <sheet name="EXECUTADO_-_MARÇO_-_2018" sheetId="13" state="hidden" r:id="rId8"/>
    <sheet name="EXECUTADO_-_ABRIL_-_2018" sheetId="14" state="hidden" r:id="rId9"/>
    <sheet name="EXECUTADO_-_JUNHO_-_2018" sheetId="16" state="hidden" r:id="rId10"/>
    <sheet name="EXECUTADO_-_JULHO_-_2018" sheetId="17" state="hidden" r:id="rId11"/>
    <sheet name="EXECUTADO_-AGOSTO -_2018" sheetId="18" state="hidden" r:id="rId12"/>
    <sheet name="EXECUTADO_- SETEMBRO -_2018" sheetId="19" state="hidden" r:id="rId13"/>
    <sheet name="EXECUTADO_- OUTUBRO -_2018 " sheetId="20" r:id="rId14"/>
  </sheets>
  <calcPr calcId="145621"/>
</workbook>
</file>

<file path=xl/calcChain.xml><?xml version="1.0" encoding="utf-8"?>
<calcChain xmlns="http://schemas.openxmlformats.org/spreadsheetml/2006/main">
  <c r="O21" i="20" l="1"/>
  <c r="P21" i="20" s="1"/>
  <c r="N21" i="20"/>
  <c r="O20" i="20"/>
  <c r="N20" i="20"/>
  <c r="O19" i="20"/>
  <c r="N19" i="20"/>
  <c r="O18" i="20"/>
  <c r="N18" i="20"/>
  <c r="O17" i="20"/>
  <c r="P17" i="20" s="1"/>
  <c r="N17" i="20"/>
  <c r="O16" i="20"/>
  <c r="P16" i="20" s="1"/>
  <c r="N16" i="20"/>
  <c r="O15" i="20"/>
  <c r="P15" i="20" s="1"/>
  <c r="N15" i="20"/>
  <c r="O14" i="20"/>
  <c r="N14" i="20"/>
  <c r="O13" i="20"/>
  <c r="P13" i="20" s="1"/>
  <c r="N13" i="20"/>
  <c r="O11" i="20"/>
  <c r="N11" i="20"/>
  <c r="O10" i="20"/>
  <c r="P10" i="20" s="1"/>
  <c r="N10" i="20"/>
  <c r="U11" i="20"/>
  <c r="U12" i="20"/>
  <c r="V12" i="20" s="1"/>
  <c r="W12" i="20" s="1"/>
  <c r="U13" i="20"/>
  <c r="U14" i="20"/>
  <c r="U15" i="20"/>
  <c r="U16" i="20"/>
  <c r="U17" i="20"/>
  <c r="U18" i="20"/>
  <c r="U19" i="20"/>
  <c r="U20" i="20"/>
  <c r="U21" i="20"/>
  <c r="P11" i="20"/>
  <c r="V11" i="20" s="1"/>
  <c r="W11" i="20" s="1"/>
  <c r="P12" i="20"/>
  <c r="P14" i="20"/>
  <c r="P18" i="20"/>
  <c r="P19" i="20"/>
  <c r="P20" i="20"/>
  <c r="U10" i="20"/>
  <c r="V14" i="20" l="1"/>
  <c r="W14" i="20" s="1"/>
  <c r="V21" i="20"/>
  <c r="W21" i="20" s="1"/>
  <c r="V20" i="20"/>
  <c r="W20" i="20" s="1"/>
  <c r="V19" i="20"/>
  <c r="W19" i="20" s="1"/>
  <c r="V18" i="20"/>
  <c r="W18" i="20" s="1"/>
  <c r="V16" i="20"/>
  <c r="W16" i="20" s="1"/>
  <c r="V17" i="20"/>
  <c r="W17" i="20" s="1"/>
  <c r="V15" i="20"/>
  <c r="W15" i="20" s="1"/>
  <c r="V13" i="20"/>
  <c r="W13" i="20" s="1"/>
  <c r="V10" i="20"/>
  <c r="W10" i="20" s="1"/>
  <c r="O19" i="19"/>
  <c r="N19" i="19"/>
  <c r="O18" i="19"/>
  <c r="N18" i="19"/>
  <c r="P16" i="19"/>
  <c r="O17" i="19"/>
  <c r="N16" i="19"/>
  <c r="O15" i="19"/>
  <c r="N15" i="19"/>
  <c r="O14" i="19" l="1"/>
  <c r="N14" i="19"/>
  <c r="O13" i="19"/>
  <c r="N13" i="19"/>
  <c r="O10" i="19"/>
  <c r="P10" i="19" s="1"/>
  <c r="N10" i="19"/>
  <c r="P11" i="19"/>
  <c r="U11" i="19"/>
  <c r="P12" i="19"/>
  <c r="U12" i="19"/>
  <c r="V12" i="19" s="1"/>
  <c r="W12" i="19" s="1"/>
  <c r="P13" i="19"/>
  <c r="U13" i="19"/>
  <c r="V13" i="19" s="1"/>
  <c r="W13" i="19" s="1"/>
  <c r="P14" i="19"/>
  <c r="U14" i="19"/>
  <c r="P15" i="19"/>
  <c r="U15" i="19"/>
  <c r="U16" i="19"/>
  <c r="P18" i="19"/>
  <c r="U18" i="19"/>
  <c r="P19" i="19"/>
  <c r="U19" i="19"/>
  <c r="U10" i="19"/>
  <c r="V14" i="19" l="1"/>
  <c r="W14" i="19" s="1"/>
  <c r="V15" i="19"/>
  <c r="W15" i="19" s="1"/>
  <c r="V18" i="19"/>
  <c r="W18" i="19" s="1"/>
  <c r="V19" i="19"/>
  <c r="W19" i="19" s="1"/>
  <c r="V11" i="19"/>
  <c r="W11" i="19" s="1"/>
  <c r="V16" i="19"/>
  <c r="W16" i="19" s="1"/>
  <c r="V10" i="19"/>
  <c r="W10" i="19" s="1"/>
  <c r="P11" i="18"/>
  <c r="P12" i="18"/>
  <c r="P13" i="18"/>
  <c r="V13" i="18" s="1"/>
  <c r="W13" i="18" s="1"/>
  <c r="P14" i="18"/>
  <c r="P15" i="18"/>
  <c r="V15" i="18" s="1"/>
  <c r="W15" i="18" s="1"/>
  <c r="P16" i="18"/>
  <c r="P17" i="18"/>
  <c r="V17" i="18" s="1"/>
  <c r="W17" i="18" s="1"/>
  <c r="P18" i="18"/>
  <c r="P19" i="18"/>
  <c r="P20" i="18"/>
  <c r="P21" i="18"/>
  <c r="V21" i="18" s="1"/>
  <c r="W21" i="18" s="1"/>
  <c r="P22" i="18"/>
  <c r="P23" i="18"/>
  <c r="V23" i="18" s="1"/>
  <c r="W23" i="18" s="1"/>
  <c r="P24" i="18"/>
  <c r="P25" i="18"/>
  <c r="V25" i="18" s="1"/>
  <c r="W25" i="18" s="1"/>
  <c r="P26" i="18"/>
  <c r="V11" i="18"/>
  <c r="W11" i="18" s="1"/>
  <c r="V12" i="18"/>
  <c r="W12" i="18"/>
  <c r="U11" i="18"/>
  <c r="U12" i="18"/>
  <c r="U13" i="18"/>
  <c r="U14" i="18"/>
  <c r="V14" i="18" s="1"/>
  <c r="W14" i="18" s="1"/>
  <c r="U15" i="18"/>
  <c r="U16" i="18"/>
  <c r="U17" i="18"/>
  <c r="U18" i="18"/>
  <c r="V18" i="18" s="1"/>
  <c r="W18" i="18" s="1"/>
  <c r="U19" i="18"/>
  <c r="U20" i="18"/>
  <c r="V20" i="18" s="1"/>
  <c r="W20" i="18" s="1"/>
  <c r="U21" i="18"/>
  <c r="U22" i="18"/>
  <c r="V22" i="18" s="1"/>
  <c r="W22" i="18" s="1"/>
  <c r="U23" i="18"/>
  <c r="U24" i="18"/>
  <c r="V24" i="18" s="1"/>
  <c r="W24" i="18" s="1"/>
  <c r="U25" i="18"/>
  <c r="U26" i="18"/>
  <c r="V26" i="18" s="1"/>
  <c r="W26" i="18" s="1"/>
  <c r="O25" i="18"/>
  <c r="N25" i="18"/>
  <c r="O23" i="18"/>
  <c r="N23" i="18"/>
  <c r="O22" i="18"/>
  <c r="N22" i="18"/>
  <c r="O21" i="18"/>
  <c r="N21" i="18"/>
  <c r="O20" i="18"/>
  <c r="N20" i="18"/>
  <c r="O19" i="18"/>
  <c r="N19" i="18"/>
  <c r="O18" i="18"/>
  <c r="N18" i="18"/>
  <c r="O17" i="18"/>
  <c r="N17" i="18"/>
  <c r="O16" i="18"/>
  <c r="N16" i="18"/>
  <c r="V16" i="18" l="1"/>
  <c r="W16" i="18" s="1"/>
  <c r="V19" i="18"/>
  <c r="W19" i="18" s="1"/>
  <c r="O15" i="18"/>
  <c r="N15" i="18"/>
  <c r="O14" i="18" l="1"/>
  <c r="N14" i="18"/>
  <c r="O13" i="18"/>
  <c r="N13" i="18"/>
  <c r="O12" i="18"/>
  <c r="N12" i="18"/>
  <c r="O11" i="18"/>
  <c r="N11" i="18"/>
  <c r="N10" i="18"/>
  <c r="O10" i="18"/>
  <c r="U10" i="18"/>
  <c r="P10" i="18"/>
  <c r="V10" i="18" l="1"/>
  <c r="W10" i="18" s="1"/>
  <c r="V24" i="17"/>
  <c r="W24" i="17" s="1"/>
  <c r="V21" i="17"/>
  <c r="V22" i="17"/>
  <c r="U24" i="17"/>
  <c r="O24" i="17"/>
  <c r="N24" i="17"/>
  <c r="P24" i="17" s="1"/>
  <c r="U21" i="17" l="1"/>
  <c r="U22" i="17"/>
  <c r="O23" i="17"/>
  <c r="P23" i="17" s="1"/>
  <c r="N22" i="17"/>
  <c r="P22" i="17" s="1"/>
  <c r="O21" i="17"/>
  <c r="N21" i="17"/>
  <c r="O20" i="17"/>
  <c r="N20" i="17"/>
  <c r="P21" i="17" l="1"/>
  <c r="W21" i="17" s="1"/>
  <c r="P20" i="17"/>
  <c r="W22" i="17"/>
  <c r="O15" i="17"/>
  <c r="N15" i="17"/>
  <c r="O14" i="17"/>
  <c r="N14" i="17"/>
  <c r="O13" i="17"/>
  <c r="N13" i="17"/>
  <c r="O12" i="17" l="1"/>
  <c r="N12" i="17"/>
  <c r="O11" i="17"/>
  <c r="N11" i="17"/>
  <c r="O10" i="17"/>
  <c r="N10" i="17"/>
  <c r="U20" i="17"/>
  <c r="U19" i="17"/>
  <c r="P19" i="17"/>
  <c r="U18" i="17"/>
  <c r="P18" i="17"/>
  <c r="U17" i="17"/>
  <c r="P17" i="17"/>
  <c r="U16" i="17"/>
  <c r="P16" i="17"/>
  <c r="U15" i="17"/>
  <c r="P15" i="17"/>
  <c r="U14" i="17"/>
  <c r="P14" i="17"/>
  <c r="U13" i="17"/>
  <c r="P13" i="17"/>
  <c r="U12" i="17"/>
  <c r="U11" i="17"/>
  <c r="U10" i="17"/>
  <c r="V16" i="17" l="1"/>
  <c r="W16" i="17" s="1"/>
  <c r="P12" i="17"/>
  <c r="V12" i="17" s="1"/>
  <c r="W12" i="17" s="1"/>
  <c r="P11" i="17"/>
  <c r="P10" i="17"/>
  <c r="V10" i="17" s="1"/>
  <c r="W10" i="17" s="1"/>
  <c r="V19" i="17"/>
  <c r="W19" i="17" s="1"/>
  <c r="V14" i="17"/>
  <c r="W14" i="17" s="1"/>
  <c r="V17" i="17"/>
  <c r="W17" i="17" s="1"/>
  <c r="V13" i="17"/>
  <c r="W13" i="17" s="1"/>
  <c r="V20" i="17"/>
  <c r="W20" i="17" s="1"/>
  <c r="V11" i="17"/>
  <c r="W11" i="17" s="1"/>
  <c r="V15" i="17"/>
  <c r="W15" i="17" s="1"/>
  <c r="V18" i="17"/>
  <c r="W18" i="17" s="1"/>
  <c r="U15" i="16"/>
  <c r="U16" i="16"/>
  <c r="U17" i="16"/>
  <c r="V17" i="16" s="1"/>
  <c r="W17" i="16" s="1"/>
  <c r="U18" i="16"/>
  <c r="U19" i="16"/>
  <c r="U20" i="16"/>
  <c r="V20" i="16" s="1"/>
  <c r="W20" i="16" s="1"/>
  <c r="P15" i="16"/>
  <c r="P17" i="16"/>
  <c r="P19" i="16"/>
  <c r="P20" i="16"/>
  <c r="O18" i="16"/>
  <c r="N18" i="16"/>
  <c r="P18" i="16" s="1"/>
  <c r="O16" i="16"/>
  <c r="N16" i="16"/>
  <c r="P16" i="16" s="1"/>
  <c r="O15" i="16"/>
  <c r="N15" i="16"/>
  <c r="O14" i="16"/>
  <c r="N14" i="16"/>
  <c r="P14" i="16" s="1"/>
  <c r="O13" i="16"/>
  <c r="N13" i="16"/>
  <c r="O12" i="16"/>
  <c r="N12" i="16"/>
  <c r="P12" i="16" s="1"/>
  <c r="U11" i="16"/>
  <c r="U12" i="16"/>
  <c r="U13" i="16"/>
  <c r="U14" i="16"/>
  <c r="U10" i="16"/>
  <c r="O11" i="16"/>
  <c r="N11" i="16"/>
  <c r="P13" i="16"/>
  <c r="O10" i="16"/>
  <c r="N10" i="16"/>
  <c r="P10" i="16" s="1"/>
  <c r="V16" i="16" l="1"/>
  <c r="W16" i="16" s="1"/>
  <c r="V18" i="16"/>
  <c r="W18" i="16" s="1"/>
  <c r="V19" i="16"/>
  <c r="W19" i="16" s="1"/>
  <c r="P11" i="16"/>
  <c r="V10" i="16"/>
  <c r="W10" i="16" s="1"/>
  <c r="V11" i="16"/>
  <c r="W11" i="16" s="1"/>
  <c r="V15" i="16"/>
  <c r="W15" i="16" s="1"/>
  <c r="V14" i="16"/>
  <c r="W14" i="16" s="1"/>
  <c r="V13" i="16"/>
  <c r="W13" i="16" s="1"/>
  <c r="V12" i="16"/>
  <c r="W12" i="16" s="1"/>
  <c r="O15" i="14"/>
  <c r="N15" i="14"/>
  <c r="O14" i="14"/>
  <c r="N14" i="14"/>
  <c r="O13" i="14"/>
  <c r="N13" i="14"/>
  <c r="O12" i="14"/>
  <c r="P12" i="14" s="1"/>
  <c r="V12" i="14" s="1"/>
  <c r="W12" i="14" s="1"/>
  <c r="N12" i="14"/>
  <c r="U11" i="14"/>
  <c r="U12" i="14"/>
  <c r="U13" i="14"/>
  <c r="U14" i="14"/>
  <c r="U15" i="14"/>
  <c r="U16" i="14"/>
  <c r="U17" i="14"/>
  <c r="O11" i="14"/>
  <c r="N11" i="14"/>
  <c r="P11" i="14"/>
  <c r="V11" i="14" s="1"/>
  <c r="W11" i="14" s="1"/>
  <c r="P14" i="14"/>
  <c r="P16" i="14"/>
  <c r="P17" i="14"/>
  <c r="O10" i="14"/>
  <c r="N10" i="14"/>
  <c r="P10" i="14" s="1"/>
  <c r="U10" i="14"/>
  <c r="V17" i="14" l="1"/>
  <c r="W17" i="14" s="1"/>
  <c r="P13" i="14"/>
  <c r="V13" i="14" s="1"/>
  <c r="W13" i="14" s="1"/>
  <c r="P15" i="14"/>
  <c r="V16" i="14"/>
  <c r="W16" i="14" s="1"/>
  <c r="V15" i="14"/>
  <c r="W15" i="14" s="1"/>
  <c r="V14" i="14"/>
  <c r="W14" i="14" s="1"/>
  <c r="V10" i="14"/>
  <c r="W10" i="14" s="1"/>
  <c r="O14" i="13"/>
  <c r="N14" i="13"/>
  <c r="P14" i="13" s="1"/>
  <c r="O13" i="13"/>
  <c r="N13" i="13"/>
  <c r="O12" i="13"/>
  <c r="N12" i="13"/>
  <c r="O11" i="13"/>
  <c r="N11" i="13"/>
  <c r="O10" i="13"/>
  <c r="N10" i="13"/>
  <c r="P10" i="13" s="1"/>
  <c r="U14" i="13"/>
  <c r="U13" i="13"/>
  <c r="P13" i="13"/>
  <c r="V13" i="13" s="1"/>
  <c r="W13" i="13" s="1"/>
  <c r="U12" i="13"/>
  <c r="U11" i="13"/>
  <c r="P11" i="13"/>
  <c r="U10" i="13"/>
  <c r="V11" i="13" l="1"/>
  <c r="W11" i="13" s="1"/>
  <c r="P12" i="13"/>
  <c r="V12" i="13" s="1"/>
  <c r="W12" i="13" s="1"/>
  <c r="V14" i="13"/>
  <c r="W14" i="13" s="1"/>
  <c r="V10" i="13"/>
  <c r="W10" i="13" s="1"/>
  <c r="O13" i="12"/>
  <c r="N13" i="12"/>
  <c r="O12" i="12"/>
  <c r="N12" i="12"/>
  <c r="O11" i="12"/>
  <c r="N11" i="12"/>
  <c r="O10" i="12"/>
  <c r="N10" i="12"/>
  <c r="U29" i="12"/>
  <c r="P29" i="12"/>
  <c r="V29" i="12" s="1"/>
  <c r="W29" i="12" s="1"/>
  <c r="U28" i="12"/>
  <c r="P28" i="12"/>
  <c r="V28" i="12" s="1"/>
  <c r="W28" i="12" s="1"/>
  <c r="U27" i="12"/>
  <c r="P27" i="12"/>
  <c r="V27" i="12" s="1"/>
  <c r="W27" i="12" s="1"/>
  <c r="U26" i="12"/>
  <c r="P26" i="12"/>
  <c r="V26" i="12" s="1"/>
  <c r="W26" i="12" s="1"/>
  <c r="U25" i="12"/>
  <c r="P25" i="12"/>
  <c r="V25" i="12" s="1"/>
  <c r="W25" i="12" s="1"/>
  <c r="U24" i="12"/>
  <c r="P24" i="12"/>
  <c r="V24" i="12" s="1"/>
  <c r="W24" i="12" s="1"/>
  <c r="U23" i="12"/>
  <c r="P23" i="12"/>
  <c r="V23" i="12" s="1"/>
  <c r="W23" i="12" s="1"/>
  <c r="U22" i="12"/>
  <c r="P22" i="12"/>
  <c r="V22" i="12" s="1"/>
  <c r="W22" i="12" s="1"/>
  <c r="U21" i="12"/>
  <c r="P21" i="12"/>
  <c r="V21" i="12" s="1"/>
  <c r="W21" i="12" s="1"/>
  <c r="U20" i="12"/>
  <c r="P20" i="12"/>
  <c r="V20" i="12" s="1"/>
  <c r="W20" i="12" s="1"/>
  <c r="U19" i="12"/>
  <c r="P19" i="12"/>
  <c r="V19" i="12" s="1"/>
  <c r="W19" i="12" s="1"/>
  <c r="U18" i="12"/>
  <c r="P18" i="12"/>
  <c r="V18" i="12" s="1"/>
  <c r="W18" i="12" s="1"/>
  <c r="U17" i="12"/>
  <c r="P17" i="12"/>
  <c r="V17" i="12" s="1"/>
  <c r="W17" i="12" s="1"/>
  <c r="U16" i="12"/>
  <c r="P16" i="12"/>
  <c r="V16" i="12" s="1"/>
  <c r="W16" i="12" s="1"/>
  <c r="U15" i="12"/>
  <c r="P15" i="12"/>
  <c r="V15" i="12" s="1"/>
  <c r="W15" i="12" s="1"/>
  <c r="U14" i="12"/>
  <c r="P14" i="12"/>
  <c r="V14" i="12" s="1"/>
  <c r="W14" i="12" s="1"/>
  <c r="U13" i="12"/>
  <c r="P13" i="12"/>
  <c r="V13" i="12" s="1"/>
  <c r="W13" i="12" s="1"/>
  <c r="U12" i="12"/>
  <c r="P12" i="12"/>
  <c r="V12" i="12" s="1"/>
  <c r="W12" i="12" s="1"/>
  <c r="U11" i="12"/>
  <c r="P11" i="12"/>
  <c r="U10" i="12"/>
  <c r="P10" i="12"/>
  <c r="V10" i="12" s="1"/>
  <c r="W10" i="12" s="1"/>
  <c r="V11" i="12" l="1"/>
  <c r="W11" i="12" s="1"/>
  <c r="O14" i="11"/>
  <c r="N14" i="11"/>
  <c r="P14" i="11" s="1"/>
  <c r="O13" i="11"/>
  <c r="N13" i="11"/>
  <c r="O12" i="11"/>
  <c r="N12" i="11"/>
  <c r="P12" i="11"/>
  <c r="P13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O11" i="11"/>
  <c r="N11" i="11"/>
  <c r="P11" i="11" s="1"/>
  <c r="O10" i="11" l="1"/>
  <c r="N10" i="11"/>
  <c r="P10" i="11" s="1"/>
  <c r="U11" i="11"/>
  <c r="V11" i="11" s="1"/>
  <c r="W11" i="11" s="1"/>
  <c r="U12" i="11"/>
  <c r="V12" i="11" s="1"/>
  <c r="W12" i="11" s="1"/>
  <c r="U13" i="11"/>
  <c r="V13" i="11" s="1"/>
  <c r="W13" i="11" s="1"/>
  <c r="U14" i="11"/>
  <c r="V14" i="11" s="1"/>
  <c r="W14" i="11" s="1"/>
  <c r="U15" i="11"/>
  <c r="V15" i="11" s="1"/>
  <c r="W15" i="11" s="1"/>
  <c r="U16" i="11"/>
  <c r="V16" i="11" s="1"/>
  <c r="W16" i="11" s="1"/>
  <c r="U17" i="11"/>
  <c r="V17" i="11" s="1"/>
  <c r="W17" i="11" s="1"/>
  <c r="U18" i="11"/>
  <c r="V18" i="11"/>
  <c r="W18" i="11" s="1"/>
  <c r="U19" i="11"/>
  <c r="V19" i="11"/>
  <c r="W19" i="11" s="1"/>
  <c r="U20" i="11"/>
  <c r="V20" i="11" s="1"/>
  <c r="W20" i="11" s="1"/>
  <c r="U21" i="11"/>
  <c r="V21" i="11" s="1"/>
  <c r="W21" i="11" s="1"/>
  <c r="U22" i="11"/>
  <c r="V22" i="11" s="1"/>
  <c r="W22" i="11" s="1"/>
  <c r="U23" i="11"/>
  <c r="V23" i="11" s="1"/>
  <c r="W23" i="11" s="1"/>
  <c r="U24" i="11"/>
  <c r="V24" i="11" s="1"/>
  <c r="W24" i="11" s="1"/>
  <c r="U25" i="11"/>
  <c r="V25" i="11"/>
  <c r="W25" i="11" s="1"/>
  <c r="U26" i="11"/>
  <c r="V26" i="11" s="1"/>
  <c r="W26" i="11" s="1"/>
  <c r="U27" i="11"/>
  <c r="V27" i="11" s="1"/>
  <c r="W27" i="11" s="1"/>
  <c r="U28" i="11"/>
  <c r="V28" i="11" s="1"/>
  <c r="W28" i="11" s="1"/>
  <c r="U29" i="11"/>
  <c r="V29" i="11" s="1"/>
  <c r="W29" i="11" s="1"/>
  <c r="U10" i="11"/>
  <c r="V10" i="11" l="1"/>
  <c r="W10" i="11" s="1"/>
  <c r="P28" i="10"/>
  <c r="V28" i="10" s="1"/>
  <c r="W28" i="10" s="1"/>
  <c r="O30" i="10"/>
  <c r="N30" i="10"/>
  <c r="P30" i="10" s="1"/>
  <c r="O29" i="10"/>
  <c r="N29" i="10"/>
  <c r="P29" i="10" s="1"/>
  <c r="N27" i="10"/>
  <c r="N26" i="10"/>
  <c r="P26" i="10" s="1"/>
  <c r="N24" i="10"/>
  <c r="N23" i="10"/>
  <c r="P23" i="10" s="1"/>
  <c r="V23" i="10" s="1"/>
  <c r="W23" i="10" s="1"/>
  <c r="O22" i="10"/>
  <c r="N22" i="10"/>
  <c r="O21" i="10"/>
  <c r="N21" i="10"/>
  <c r="O20" i="10"/>
  <c r="N20" i="10"/>
  <c r="P20" i="10" s="1"/>
  <c r="O19" i="10"/>
  <c r="N19" i="10"/>
  <c r="O18" i="10"/>
  <c r="N18" i="10"/>
  <c r="O17" i="10"/>
  <c r="N17" i="10"/>
  <c r="P17" i="10" s="1"/>
  <c r="O16" i="10"/>
  <c r="N16" i="10"/>
  <c r="O15" i="10"/>
  <c r="N15" i="10"/>
  <c r="O14" i="10"/>
  <c r="N14" i="10"/>
  <c r="P14" i="10" s="1"/>
  <c r="O13" i="10"/>
  <c r="N13" i="10"/>
  <c r="P13" i="10" s="1"/>
  <c r="O12" i="10"/>
  <c r="N12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P15" i="10"/>
  <c r="V15" i="10" s="1"/>
  <c r="W15" i="10" s="1"/>
  <c r="P16" i="10"/>
  <c r="P19" i="10"/>
  <c r="P21" i="10"/>
  <c r="P22" i="10"/>
  <c r="V22" i="10" s="1"/>
  <c r="W22" i="10" s="1"/>
  <c r="P24" i="10"/>
  <c r="V24" i="10" s="1"/>
  <c r="W24" i="10" s="1"/>
  <c r="P25" i="10"/>
  <c r="P27" i="10"/>
  <c r="O11" i="10"/>
  <c r="N11" i="10"/>
  <c r="P11" i="10" s="1"/>
  <c r="O10" i="10"/>
  <c r="N10" i="10"/>
  <c r="P12" i="10" l="1"/>
  <c r="V12" i="10" s="1"/>
  <c r="W12" i="10" s="1"/>
  <c r="P18" i="10"/>
  <c r="V27" i="10"/>
  <c r="W27" i="10" s="1"/>
  <c r="V26" i="10"/>
  <c r="W26" i="10" s="1"/>
  <c r="V30" i="10"/>
  <c r="W30" i="10" s="1"/>
  <c r="V21" i="10"/>
  <c r="W21" i="10" s="1"/>
  <c r="V20" i="10"/>
  <c r="W20" i="10" s="1"/>
  <c r="V19" i="10"/>
  <c r="W19" i="10" s="1"/>
  <c r="V17" i="10"/>
  <c r="W17" i="10" s="1"/>
  <c r="V16" i="10"/>
  <c r="W16" i="10" s="1"/>
  <c r="V29" i="10"/>
  <c r="W29" i="10" s="1"/>
  <c r="V14" i="10"/>
  <c r="W14" i="10" s="1"/>
  <c r="V25" i="10"/>
  <c r="W25" i="10" s="1"/>
  <c r="V18" i="10"/>
  <c r="W18" i="10" s="1"/>
  <c r="V13" i="10"/>
  <c r="W13" i="10" s="1"/>
  <c r="V11" i="10"/>
  <c r="W11" i="10" s="1"/>
  <c r="U10" i="10"/>
  <c r="P10" i="10" l="1"/>
  <c r="V10" i="10" s="1"/>
  <c r="W10" i="10" s="1"/>
  <c r="O32" i="9"/>
  <c r="N32" i="9"/>
  <c r="O31" i="9"/>
  <c r="N31" i="9"/>
  <c r="O30" i="9"/>
  <c r="N30" i="9"/>
  <c r="O29" i="9"/>
  <c r="O28" i="9"/>
  <c r="N29" i="9"/>
  <c r="P29" i="9" s="1"/>
  <c r="N28" i="9"/>
  <c r="O27" i="9"/>
  <c r="N27" i="9"/>
  <c r="O26" i="9" l="1"/>
  <c r="N26" i="9"/>
  <c r="P26" i="9" s="1"/>
  <c r="O25" i="9"/>
  <c r="N25" i="9"/>
  <c r="P25" i="9"/>
  <c r="O24" i="9"/>
  <c r="N24" i="9"/>
  <c r="N23" i="9"/>
  <c r="O23" i="9"/>
  <c r="P23" i="9" s="1"/>
  <c r="V23" i="9" s="1"/>
  <c r="W23" i="9" s="1"/>
  <c r="P27" i="9"/>
  <c r="P31" i="9"/>
  <c r="U23" i="9"/>
  <c r="U24" i="9"/>
  <c r="U25" i="9"/>
  <c r="U26" i="9"/>
  <c r="U27" i="9"/>
  <c r="P28" i="9"/>
  <c r="U28" i="9"/>
  <c r="U29" i="9"/>
  <c r="P30" i="9"/>
  <c r="V30" i="9" s="1"/>
  <c r="W30" i="9" s="1"/>
  <c r="U30" i="9"/>
  <c r="U31" i="9"/>
  <c r="P32" i="9"/>
  <c r="U32" i="9"/>
  <c r="O22" i="9"/>
  <c r="N22" i="9"/>
  <c r="O21" i="9"/>
  <c r="N21" i="9"/>
  <c r="O20" i="9"/>
  <c r="N20" i="9"/>
  <c r="O19" i="9"/>
  <c r="N19" i="9"/>
  <c r="O18" i="9"/>
  <c r="N18" i="9"/>
  <c r="V31" i="9" l="1"/>
  <c r="W31" i="9" s="1"/>
  <c r="P24" i="9"/>
  <c r="V25" i="9"/>
  <c r="W25" i="9" s="1"/>
  <c r="V32" i="9"/>
  <c r="W32" i="9" s="1"/>
  <c r="V24" i="9"/>
  <c r="W24" i="9" s="1"/>
  <c r="V26" i="9"/>
  <c r="W26" i="9" s="1"/>
  <c r="V29" i="9"/>
  <c r="W29" i="9" s="1"/>
  <c r="V28" i="9"/>
  <c r="W28" i="9" s="1"/>
  <c r="V27" i="9"/>
  <c r="W27" i="9" s="1"/>
  <c r="O17" i="9"/>
  <c r="N17" i="9"/>
  <c r="O16" i="9"/>
  <c r="N16" i="9"/>
  <c r="P16" i="9" s="1"/>
  <c r="O15" i="9"/>
  <c r="P15" i="9" s="1"/>
  <c r="N15" i="9"/>
  <c r="O14" i="9"/>
  <c r="N14" i="9"/>
  <c r="O13" i="9"/>
  <c r="N13" i="9"/>
  <c r="O12" i="9"/>
  <c r="N12" i="9"/>
  <c r="O11" i="9"/>
  <c r="P11" i="9" s="1"/>
  <c r="N11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P12" i="9"/>
  <c r="P13" i="9"/>
  <c r="P17" i="9"/>
  <c r="P18" i="9"/>
  <c r="P19" i="9"/>
  <c r="P20" i="9"/>
  <c r="P21" i="9"/>
  <c r="P22" i="9"/>
  <c r="O10" i="9"/>
  <c r="N10" i="9"/>
  <c r="P14" i="9" l="1"/>
  <c r="P10" i="9"/>
  <c r="V10" i="9" s="1"/>
  <c r="W10" i="9" s="1"/>
  <c r="V19" i="9"/>
  <c r="W19" i="9" s="1"/>
  <c r="V11" i="9"/>
  <c r="W11" i="9" s="1"/>
  <c r="V22" i="9"/>
  <c r="W22" i="9" s="1"/>
  <c r="V21" i="9"/>
  <c r="W21" i="9" s="1"/>
  <c r="V20" i="9"/>
  <c r="W20" i="9" s="1"/>
  <c r="V18" i="9"/>
  <c r="W18" i="9" s="1"/>
  <c r="V17" i="9"/>
  <c r="W17" i="9" s="1"/>
  <c r="V16" i="9"/>
  <c r="W16" i="9" s="1"/>
  <c r="V15" i="9"/>
  <c r="W15" i="9" s="1"/>
  <c r="V14" i="9"/>
  <c r="W14" i="9" s="1"/>
  <c r="V13" i="9"/>
  <c r="W13" i="9" s="1"/>
  <c r="V12" i="9"/>
  <c r="W12" i="9" s="1"/>
  <c r="O26" i="8"/>
  <c r="P26" i="8" s="1"/>
  <c r="N26" i="8"/>
  <c r="O25" i="8"/>
  <c r="N25" i="8"/>
  <c r="N24" i="8"/>
  <c r="P24" i="8" s="1"/>
  <c r="O24" i="8"/>
  <c r="O23" i="8"/>
  <c r="N23" i="8"/>
  <c r="U21" i="8"/>
  <c r="U22" i="8"/>
  <c r="U23" i="8"/>
  <c r="U24" i="8"/>
  <c r="U25" i="8"/>
  <c r="U26" i="8"/>
  <c r="P23" i="8"/>
  <c r="O22" i="8"/>
  <c r="P22" i="8" s="1"/>
  <c r="V22" i="8" s="1"/>
  <c r="W22" i="8" s="1"/>
  <c r="N22" i="8"/>
  <c r="O21" i="8"/>
  <c r="N21" i="8"/>
  <c r="O20" i="8"/>
  <c r="N20" i="8"/>
  <c r="O19" i="8"/>
  <c r="N19" i="8"/>
  <c r="O18" i="8"/>
  <c r="N18" i="8"/>
  <c r="O17" i="8"/>
  <c r="N17" i="8"/>
  <c r="P17" i="8" s="1"/>
  <c r="O16" i="8"/>
  <c r="P16" i="8" s="1"/>
  <c r="N16" i="8"/>
  <c r="O15" i="8"/>
  <c r="N15" i="8"/>
  <c r="P15" i="8" s="1"/>
  <c r="O14" i="8"/>
  <c r="P14" i="8" s="1"/>
  <c r="N14" i="8"/>
  <c r="O13" i="8"/>
  <c r="N13" i="8"/>
  <c r="O12" i="8"/>
  <c r="N12" i="8"/>
  <c r="O11" i="8"/>
  <c r="N11" i="8"/>
  <c r="U10" i="8"/>
  <c r="U11" i="8"/>
  <c r="U12" i="8"/>
  <c r="U13" i="8"/>
  <c r="U14" i="8"/>
  <c r="U15" i="8"/>
  <c r="U16" i="8"/>
  <c r="U17" i="8"/>
  <c r="U18" i="8"/>
  <c r="U19" i="8"/>
  <c r="U20" i="8"/>
  <c r="P11" i="8"/>
  <c r="P12" i="8"/>
  <c r="P13" i="8"/>
  <c r="P19" i="8"/>
  <c r="P21" i="8"/>
  <c r="V21" i="8" s="1"/>
  <c r="W21" i="8" s="1"/>
  <c r="O10" i="8"/>
  <c r="P10" i="8" s="1"/>
  <c r="N10" i="8"/>
  <c r="V26" i="8" l="1"/>
  <c r="W26" i="8" s="1"/>
  <c r="V19" i="8"/>
  <c r="W19" i="8" s="1"/>
  <c r="V11" i="8"/>
  <c r="W11" i="8" s="1"/>
  <c r="P25" i="8"/>
  <c r="V25" i="8" s="1"/>
  <c r="W25" i="8" s="1"/>
  <c r="P18" i="8"/>
  <c r="V18" i="8" s="1"/>
  <c r="W18" i="8" s="1"/>
  <c r="P20" i="8"/>
  <c r="V20" i="8" s="1"/>
  <c r="W20" i="8" s="1"/>
  <c r="V24" i="8"/>
  <c r="W24" i="8" s="1"/>
  <c r="V23" i="8"/>
  <c r="W23" i="8" s="1"/>
  <c r="V17" i="8"/>
  <c r="W17" i="8" s="1"/>
  <c r="V16" i="8"/>
  <c r="W16" i="8" s="1"/>
  <c r="V15" i="8"/>
  <c r="W15" i="8" s="1"/>
  <c r="V14" i="8"/>
  <c r="W14" i="8" s="1"/>
  <c r="V13" i="8"/>
  <c r="W13" i="8" s="1"/>
  <c r="V12" i="8"/>
  <c r="W12" i="8" s="1"/>
  <c r="V10" i="8"/>
  <c r="W10" i="8" s="1"/>
  <c r="O22" i="7"/>
  <c r="N22" i="7"/>
  <c r="P22" i="7" s="1"/>
  <c r="V22" i="7" s="1"/>
  <c r="W22" i="7" s="1"/>
  <c r="O20" i="7"/>
  <c r="N20" i="7"/>
  <c r="P20" i="7" s="1"/>
  <c r="O19" i="7"/>
  <c r="N19" i="7"/>
  <c r="P19" i="7" s="1"/>
  <c r="O18" i="7"/>
  <c r="N18" i="7"/>
  <c r="O17" i="7"/>
  <c r="N17" i="7"/>
  <c r="O16" i="7"/>
  <c r="N16" i="7"/>
  <c r="P16" i="7" s="1"/>
  <c r="V16" i="7" s="1"/>
  <c r="W16" i="7" s="1"/>
  <c r="U16" i="7"/>
  <c r="U17" i="7"/>
  <c r="U18" i="7"/>
  <c r="U19" i="7"/>
  <c r="U20" i="7"/>
  <c r="U21" i="7"/>
  <c r="U22" i="7"/>
  <c r="P21" i="7"/>
  <c r="N15" i="7"/>
  <c r="O15" i="7"/>
  <c r="U15" i="7"/>
  <c r="O14" i="7"/>
  <c r="N14" i="7"/>
  <c r="O13" i="7"/>
  <c r="N13" i="7"/>
  <c r="O12" i="7"/>
  <c r="N12" i="7"/>
  <c r="U11" i="7"/>
  <c r="U10" i="7"/>
  <c r="U12" i="7"/>
  <c r="U13" i="7"/>
  <c r="U14" i="7"/>
  <c r="O11" i="7"/>
  <c r="N11" i="7"/>
  <c r="P11" i="7" s="1"/>
  <c r="O10" i="7"/>
  <c r="N10" i="7"/>
  <c r="V19" i="7" l="1"/>
  <c r="W19" i="7" s="1"/>
  <c r="P17" i="7"/>
  <c r="V17" i="7" s="1"/>
  <c r="W17" i="7" s="1"/>
  <c r="P18" i="7"/>
  <c r="V18" i="7" s="1"/>
  <c r="W18" i="7" s="1"/>
  <c r="V21" i="7"/>
  <c r="W21" i="7" s="1"/>
  <c r="V20" i="7"/>
  <c r="W20" i="7" s="1"/>
  <c r="P13" i="7"/>
  <c r="V13" i="7" s="1"/>
  <c r="W13" i="7" s="1"/>
  <c r="P15" i="7"/>
  <c r="V15" i="7" s="1"/>
  <c r="W15" i="7" s="1"/>
  <c r="P14" i="7"/>
  <c r="V14" i="7" s="1"/>
  <c r="W14" i="7" s="1"/>
  <c r="V11" i="7"/>
  <c r="W11" i="7" s="1"/>
  <c r="P12" i="7"/>
  <c r="V12" i="7" s="1"/>
  <c r="W12" i="7" s="1"/>
  <c r="P10" i="7"/>
  <c r="V10" i="7" l="1"/>
  <c r="W10" i="7" s="1"/>
  <c r="P11" i="6"/>
  <c r="O15" i="6"/>
  <c r="N15" i="6"/>
  <c r="P15" i="6" s="1"/>
  <c r="V15" i="6" s="1"/>
  <c r="W15" i="6" s="1"/>
  <c r="O14" i="6"/>
  <c r="P14" i="6" s="1"/>
  <c r="V14" i="6" s="1"/>
  <c r="W14" i="6" s="1"/>
  <c r="N14" i="6"/>
  <c r="O13" i="6"/>
  <c r="N13" i="6"/>
  <c r="P13" i="6" s="1"/>
  <c r="O12" i="6"/>
  <c r="P12" i="6" s="1"/>
  <c r="N12" i="6"/>
  <c r="U11" i="6"/>
  <c r="U12" i="6"/>
  <c r="U13" i="6"/>
  <c r="U14" i="6"/>
  <c r="U15" i="6"/>
  <c r="O11" i="6"/>
  <c r="N11" i="6"/>
  <c r="N10" i="6"/>
  <c r="O10" i="6"/>
  <c r="U10" i="6"/>
  <c r="V11" i="6" l="1"/>
  <c r="W11" i="6" s="1"/>
  <c r="P10" i="6"/>
  <c r="V10" i="6" s="1"/>
  <c r="W10" i="6" s="1"/>
  <c r="V13" i="6"/>
  <c r="W13" i="6" s="1"/>
  <c r="V12" i="6"/>
  <c r="W12" i="6" s="1"/>
</calcChain>
</file>

<file path=xl/sharedStrings.xml><?xml version="1.0" encoding="utf-8"?>
<sst xmlns="http://schemas.openxmlformats.org/spreadsheetml/2006/main" count="2313" uniqueCount="361">
  <si>
    <t>MÊS REFERÊNCIA:</t>
  </si>
  <si>
    <t>DIÁRIAS</t>
  </si>
  <si>
    <t>Quantidade</t>
  </si>
  <si>
    <t>EVENTO</t>
  </si>
  <si>
    <t>MATRIZ DE GERENCIAMENTO DE DIÁRIAS E PASSAGENS</t>
  </si>
  <si>
    <t>UNIDADE GESTORA</t>
  </si>
  <si>
    <t>SERVIDOR</t>
  </si>
  <si>
    <t>PASSAGENS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</si>
  <si>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</si>
  <si>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</si>
  <si>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</si>
  <si>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</si>
  <si>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</si>
  <si>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</si>
  <si>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</si>
  <si>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</si>
  <si>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</si>
  <si>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</si>
  <si>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</si>
  <si>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</si>
  <si>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</si>
  <si>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</si>
  <si>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</si>
  <si>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</si>
  <si>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</si>
  <si>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</si>
  <si>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</si>
  <si>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</si>
  <si>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</si>
  <si>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</si>
  <si>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Valor unitário</t>
  </si>
  <si>
    <t>NACIONAL</t>
  </si>
  <si>
    <t>PE</t>
  </si>
  <si>
    <t>RECIFE</t>
  </si>
  <si>
    <t>DTC</t>
  </si>
  <si>
    <t>GERE</t>
  </si>
  <si>
    <t>ADEMIR VIEIRA</t>
  </si>
  <si>
    <t>REUNIÃO SOBRE MATRIZ DE RISCO</t>
  </si>
  <si>
    <t>RJ</t>
  </si>
  <si>
    <t>RIO DE JANEIRO</t>
  </si>
  <si>
    <t>GILBERTO DE SOUZA SANTOS</t>
  </si>
  <si>
    <t>REUNIÃO NA MITSUI PADRONIZAÇÃO DE ESPECIFICAÇÕES TÉCNICAS DE MATERIAS &amp; EQUIPAMENTOS</t>
  </si>
  <si>
    <t>ALEXANDRE CARLOS DE CARVALHO LISBOA</t>
  </si>
  <si>
    <t>REUNIÃO DO GT DE CONTABILIDADE DA ABEGÁS E EUNIÃO DO PCPGÁS</t>
  </si>
  <si>
    <t>DAF</t>
  </si>
  <si>
    <t>GCON</t>
  </si>
  <si>
    <t>JAILSON JOSÉ GALVÃO</t>
  </si>
  <si>
    <t>REUNIÃO GASPETRO</t>
  </si>
  <si>
    <t>CARLOS EDUARDO CARNEIRO GUEDES ALCOFORADO</t>
  </si>
  <si>
    <t>PRE</t>
  </si>
  <si>
    <t>CJUR</t>
  </si>
  <si>
    <t>REUNIÃO THOMAS LUCHINI - PRESIDENTE GASPETRO</t>
  </si>
  <si>
    <t>COORDENADOR DE ENGENHARIA</t>
  </si>
  <si>
    <t>GESTOR DE PROJETOS</t>
  </si>
  <si>
    <t>GERENTE DE CONTABILIDADE E FISCAL</t>
  </si>
  <si>
    <t>DIRETOR TÉCNICO COMERCIAL</t>
  </si>
  <si>
    <t>COORDENADOR JURÍDICO</t>
  </si>
  <si>
    <t>000066</t>
  </si>
  <si>
    <t>EMANUELLE CRISTINE DA SILVA BARCELAR</t>
  </si>
  <si>
    <t>000242</t>
  </si>
  <si>
    <t>CPLA</t>
  </si>
  <si>
    <t>SP</t>
  </si>
  <si>
    <t>SÃO PAULO</t>
  </si>
  <si>
    <t>REALIZAÇÃO DE CURSO - PLANEJAMENTO FINANCEIRO E ORÇAMENTO</t>
  </si>
  <si>
    <t>RENATA DE ASSIS ALBUQUERQUE</t>
  </si>
  <si>
    <t>QSMS</t>
  </si>
  <si>
    <t>000195</t>
  </si>
  <si>
    <t>REALIZAÇÃO DE CURSO - ATMOSFERAS EXPLOSIVAS</t>
  </si>
  <si>
    <t>000232</t>
  </si>
  <si>
    <t>REALIZAÇÃO DE CURSO - CONTRATO DE CONCESSÃO</t>
  </si>
  <si>
    <t>CLAUDEMIR JOSE DA SILVA</t>
  </si>
  <si>
    <t>000303</t>
  </si>
  <si>
    <t>JAIME CERQUEIRA LIMA ISENSEE</t>
  </si>
  <si>
    <t>REUNIÃO</t>
  </si>
  <si>
    <t>-</t>
  </si>
  <si>
    <t>LUCIANO COUTO ROSA GUIMARAES</t>
  </si>
  <si>
    <t>GEORGE WASHINGTON PAULO FERREIRA</t>
  </si>
  <si>
    <t>GDIS</t>
  </si>
  <si>
    <t>000146</t>
  </si>
  <si>
    <t xml:space="preserve">EVENTO </t>
  </si>
  <si>
    <t>ROBERTO CARLOS MOREIRA FONTELLES</t>
  </si>
  <si>
    <t>000056</t>
  </si>
  <si>
    <t>REUNIÃO ANP</t>
  </si>
  <si>
    <t>REUNIÃO PETROBRAS</t>
  </si>
  <si>
    <t>ANALISTA FINANCEIRO</t>
  </si>
  <si>
    <t>TÉCNICO QSMS</t>
  </si>
  <si>
    <t>TÉCNICO OPERACIONAL QSMS</t>
  </si>
  <si>
    <t>ASSISTENTE DE DIRETORIA</t>
  </si>
  <si>
    <t>DIRETOR ADMINISTRATIVO FINANCEIRO</t>
  </si>
  <si>
    <t>COORDENADOR DE DISTRIBUIÇÃO</t>
  </si>
  <si>
    <t>DIRETOR PRESIDENTE</t>
  </si>
  <si>
    <t>GMAR</t>
  </si>
  <si>
    <t>RUBENING FERNANDO PEREIRA FELIPE</t>
  </si>
  <si>
    <t>000254</t>
  </si>
  <si>
    <t>CURSO ABGÁS</t>
  </si>
  <si>
    <t>ITALLO JOSE DOS SANTOS</t>
  </si>
  <si>
    <t>000073</t>
  </si>
  <si>
    <t>CURSO TRABALHOS EM ATMOSFERA EXPLOSIVA</t>
  </si>
  <si>
    <t>DANILO PAVEL SOARES  DO ESPIRITO SANTO</t>
  </si>
  <si>
    <t>000277</t>
  </si>
  <si>
    <t>REUNIÃO GT PADRONIZAÇÃO ESPECIFICAÇÕES TÉCNICAS DE MATERIAS E EQUIPAMENTOS</t>
  </si>
  <si>
    <t>FLORIANÓPOLIS</t>
  </si>
  <si>
    <t>SC</t>
  </si>
  <si>
    <t xml:space="preserve">PRE </t>
  </si>
  <si>
    <t>000000</t>
  </si>
  <si>
    <t>REUNIÃO CEGÁS</t>
  </si>
  <si>
    <t>CE</t>
  </si>
  <si>
    <t>FORTALEZA</t>
  </si>
  <si>
    <t>ELIZEU SERGIO DE AMORIM COELHO</t>
  </si>
  <si>
    <t>GCRC</t>
  </si>
  <si>
    <t>000182</t>
  </si>
  <si>
    <t>BA</t>
  </si>
  <si>
    <t>SALVADOR</t>
  </si>
  <si>
    <t>CURSO APERFEIÇOAMENTO EM TECNOLOGIA DE MANUTENÇÃO E CONVERSÃO DE AQUECEDORES DIGITAIS</t>
  </si>
  <si>
    <t>DERLIN ALVES MOREIRA NETO</t>
  </si>
  <si>
    <t>000150</t>
  </si>
  <si>
    <t>REUNIÃO CDL'S E CURSO ABGÁS</t>
  </si>
  <si>
    <t>REUNIÃO BAHIAGÁS</t>
  </si>
  <si>
    <t>FERNANDO PIMENTEL FILHO</t>
  </si>
  <si>
    <t>000067</t>
  </si>
  <si>
    <t>FORUM</t>
  </si>
  <si>
    <t xml:space="preserve">SP </t>
  </si>
  <si>
    <t>REUNIÃO NA LEITE, TOSTO  E BARROS ADVOGADOS</t>
  </si>
  <si>
    <t>MANOEL HENRIQUE DE ANDRADE LIMA</t>
  </si>
  <si>
    <t>000147</t>
  </si>
  <si>
    <t>CNNE</t>
  </si>
  <si>
    <t>TÉCNICO OPERACIONAL DE MEDIÇÃO E AUTOMOÇÃO</t>
  </si>
  <si>
    <t>TÉCNICO OPERACIONAL DE OPERAÇÕES</t>
  </si>
  <si>
    <t>ENGENHEIRO DE PROJETOS</t>
  </si>
  <si>
    <t>ENGENHEIRO DE SUPORTE TÉCNICO</t>
  </si>
  <si>
    <t>SUPERVISOR DE PROCESSOS E QUALIDADE</t>
  </si>
  <si>
    <t>ASSISTENTE DIRETOR</t>
  </si>
  <si>
    <t xml:space="preserve">COORDENADOR DE NOVOS NEGÓCIOS </t>
  </si>
  <si>
    <t xml:space="preserve">EVELLYN MARIA RAINHA PERDIGÃO </t>
  </si>
  <si>
    <t>RENAN ALEX ALBUQUERQUE BEZERRA</t>
  </si>
  <si>
    <t>ISABELA DA SILVA SANTANA</t>
  </si>
  <si>
    <t>HENRIQUE PAASHAUS ACIOLY DE DE MELO</t>
  </si>
  <si>
    <t>CLCO</t>
  </si>
  <si>
    <t>GFIN</t>
  </si>
  <si>
    <t>AL</t>
  </si>
  <si>
    <t>MACEIO</t>
  </si>
  <si>
    <t>ENCONTRO TÉCNICO FINANCEIRO 2017</t>
  </si>
  <si>
    <t>BENCHMARKING + ATIVO FIXO NA ALGÁS</t>
  </si>
  <si>
    <t>FÓRUM DE EDITAIS - PROMOVIDO PELA MITSUI</t>
  </si>
  <si>
    <t>MARCOS FILIPE PEIXOTO DE ARAUJO</t>
  </si>
  <si>
    <t>GADS</t>
  </si>
  <si>
    <t>ROMUALDO BARROS GUIMARAES</t>
  </si>
  <si>
    <t>RENATO JOSE PESSOA MENDES</t>
  </si>
  <si>
    <t>000280</t>
  </si>
  <si>
    <t>000202</t>
  </si>
  <si>
    <t>SUPERVISOR DE ORÇAMENTO</t>
  </si>
  <si>
    <t>000230</t>
  </si>
  <si>
    <t>GERENTE FINANCEIRO</t>
  </si>
  <si>
    <t>000296</t>
  </si>
  <si>
    <t>SUPERVISOR JÚRIDICO</t>
  </si>
  <si>
    <t>000293</t>
  </si>
  <si>
    <t>SUPERVISOR DE COMPRAS</t>
  </si>
  <si>
    <t>000047</t>
  </si>
  <si>
    <t>GERENTE DE ADMINISTRAÇÃO E SUPRIMENTOS</t>
  </si>
  <si>
    <t>000045</t>
  </si>
  <si>
    <t>COORDENADOR DE CONTRATAÇÃO E PLANEJAMENTO</t>
  </si>
  <si>
    <t>REUNIÃO MITSUI</t>
  </si>
  <si>
    <t>FÓRUM PLATTS DE ENERGIA DO BRASIL</t>
  </si>
  <si>
    <t>APRESENTAÇÃO DE TRABALHO (RIO PIPELINE)</t>
  </si>
  <si>
    <t>FÓRUM DE EQUALIZAÇÃO DE EDITAIS E LEIS 13303</t>
  </si>
  <si>
    <t>GETULIO ALVES DE MELO MENDONÇA JUNIOR</t>
  </si>
  <si>
    <t>REUNIÃO GT PADRONIZAÇÃO PPU/CPU</t>
  </si>
  <si>
    <t xml:space="preserve"> POSSE DO NOVO PRESIDENTE ANP</t>
  </si>
  <si>
    <t>RENATA BARBOSA DAMASIO</t>
  </si>
  <si>
    <t>ADAF</t>
  </si>
  <si>
    <t>APRESENTAÇÃO ORÇAMENTO MITSUI</t>
  </si>
  <si>
    <t xml:space="preserve">TÉCNICO OPERACIONAL </t>
  </si>
  <si>
    <t>000129</t>
  </si>
  <si>
    <t>000158</t>
  </si>
  <si>
    <t>GESTOR DE PLANEJAMENTO E CONTROLE E CONTRATO</t>
  </si>
  <si>
    <t>0000127</t>
  </si>
  <si>
    <t>ENGENHAIRA DE OPERAÇÕES</t>
  </si>
  <si>
    <t>CURSO POLITICA DE COBRANÇA E CONTROLE DE INADIMPLÊNCIA</t>
  </si>
  <si>
    <t>ALEXANDRA SOCORRO DE SOUSA NOGUEIRA CUNACIA</t>
  </si>
  <si>
    <t>000039</t>
  </si>
  <si>
    <t xml:space="preserve">MESA REDONDA DE ENERGIA DO BRASIL : GÁS E ENERGIA </t>
  </si>
  <si>
    <t>MACEIÓ</t>
  </si>
  <si>
    <t>REUNIÃO COM AS DISTRIBUIDORAS DE GÁS DO NE</t>
  </si>
  <si>
    <t>JOAO ALFREDO DE MORAIS GUERRA</t>
  </si>
  <si>
    <t>EVALDO PINTO VIEIRA DE MELLO</t>
  </si>
  <si>
    <t>MARCO ANTONIO ASSUMPCAO PINTO DE OLIVEIRA</t>
  </si>
  <si>
    <t>GCVI</t>
  </si>
  <si>
    <t>WORKSHOP GHP/ABS EVENTO PANASONIC</t>
  </si>
  <si>
    <t>000119</t>
  </si>
  <si>
    <t>000317</t>
  </si>
  <si>
    <t>000071</t>
  </si>
  <si>
    <t>HENRIQUE DE AGUIAR SA VILA NOVA JUNIOR</t>
  </si>
  <si>
    <t>FELIPE AUGUSTO MONTEIRO DE SOUZA</t>
  </si>
  <si>
    <t>GETI</t>
  </si>
  <si>
    <t>CURITIBA</t>
  </si>
  <si>
    <t>PR</t>
  </si>
  <si>
    <t>000284</t>
  </si>
  <si>
    <t>000228</t>
  </si>
  <si>
    <t>ENCONTRO DO COMITÊ GESTOR E DE DESENVOLVIMENTO GGÁS</t>
  </si>
  <si>
    <t>PARTICIPAÇÃO FORUM REGULATÓRIO OIL&amp;GAS</t>
  </si>
  <si>
    <t>REUNIÃO ADV ANDRÉ SERRÃO</t>
  </si>
  <si>
    <t>JONATHAS MESQUITA DE ALMEIDA</t>
  </si>
  <si>
    <t>SÃO LUÍS</t>
  </si>
  <si>
    <t>MA</t>
  </si>
  <si>
    <t>000063</t>
  </si>
  <si>
    <t>REUNIÃO GT CONTABILIDADE ABEGAS</t>
  </si>
  <si>
    <t>SUPERVISORA DE FATURAMENTO E COBRANÇA</t>
  </si>
  <si>
    <t>SUPERVISOR DO SEGMENTO RESIDENCIAL</t>
  </si>
  <si>
    <t>GERENTE DE COMERCIALIZAÇÃO VEICULAR E INDUSTRIAL</t>
  </si>
  <si>
    <t>GERENTE DE TECNOLOGIA DA INFORMAÇÃO</t>
  </si>
  <si>
    <t>ANALISTA DE SISTEMA</t>
  </si>
  <si>
    <t>SUPERVISOR FISCAL</t>
  </si>
  <si>
    <t>GERE - COORDENADORIA DE ENGENHARIA</t>
  </si>
  <si>
    <t>LUCAS GOMES COSTA</t>
  </si>
  <si>
    <t>CPLA - COORDENADORIA DE PLANEJ CORPORATIVO</t>
  </si>
  <si>
    <t>CJUR - COORDENADORIA JURIDICA</t>
  </si>
  <si>
    <t>CURSO PLANEJAMENTO FINANCEIRO E ORÇAMENTO EMPRESARIAL</t>
  </si>
  <si>
    <t>ASSEMBLEIA GERAL EXTRAORDINÁRIA ABEGÁS</t>
  </si>
  <si>
    <t>PARTICIPAÇÃO DO GT DE PADRONIZAÇÃO DE ESPECIFICAÇÕES TÉCNICAS DE MATERIAS E EQUIPAMENTOS</t>
  </si>
  <si>
    <t>PARTICIPAÇÃO PADRONIZAÇÃO PPU/CPU - 2° REUNIÃO</t>
  </si>
  <si>
    <t>0000320</t>
  </si>
  <si>
    <t>COORDENADOR DE PLANEJAMENTO CORPORATIVO</t>
  </si>
  <si>
    <t>VISITA ALGAS</t>
  </si>
  <si>
    <t>JOSE WALDIR FERRARI</t>
  </si>
  <si>
    <t>WORKSHOP SUPRIMENTO DE GAS</t>
  </si>
  <si>
    <t>GCON - GERENCIA CONTABIL E FISCAL</t>
  </si>
  <si>
    <t>REUNIÃO DO GRUPO DE TRABALHO DE CONTABILIDADE DA ABEGÁS</t>
  </si>
  <si>
    <t>QSMS - QUALIDADE, SEGURANÇA, MEIO AMB. E SAUD</t>
  </si>
  <si>
    <t>REUNIÃO ABEGÁS</t>
  </si>
  <si>
    <t>PRE - PRESIDENCIA</t>
  </si>
  <si>
    <t>ASSEMBLEIA ABEGÁS</t>
  </si>
  <si>
    <t>DAF - DIRETOR ADMINISTRATIVO FINANCEIRO</t>
  </si>
  <si>
    <t>PRE - PRESIDÊNCIA</t>
  </si>
  <si>
    <t>DTC - DIRETORIA TÉCNICO - COMERCIAL</t>
  </si>
  <si>
    <t>GCRC - GERENCIA DE COMERC. RESID/COMERCIAL</t>
  </si>
  <si>
    <t>EVENTO PROMOVIDO PELA BAHIAGÁS COM FOCO NO SEGMENTO RESIDÊNCIAL</t>
  </si>
  <si>
    <t>ANDERSON FRANCISCO DE LIMA ANDRADE</t>
  </si>
  <si>
    <t>VALOR DA DIARIA PARCIAL E REFERENTE AO REEMBOLSO QUE O COLABORADOR TEVE  DIREITO NA HORA DA PRESTAÇÃO DE CONTA</t>
  </si>
  <si>
    <t>GFIN - GERENCIA FINANCEIRA</t>
  </si>
  <si>
    <t>CNNE - COORDENADORIA DE NOVOS NEGOCIOS</t>
  </si>
  <si>
    <t>COMITE DE INOVAÇÃO ABEGÁS</t>
  </si>
  <si>
    <t xml:space="preserve">REUNIÃO NA BAHIAGÁS COM COPERGÁS E POTIGÁS </t>
  </si>
  <si>
    <t>REUNIÃO NO ESCRITÓRIO DE ADVOCACIA VEIRANO TRATAR  SOBRE PROCESSO GDK</t>
  </si>
  <si>
    <t>000082</t>
  </si>
  <si>
    <t>GERENTE DE COMERCIALIZAÇÃO RESIDENCIAL E COMERCIAL</t>
  </si>
  <si>
    <t xml:space="preserve">CURSO DE CONTABILIDADE </t>
  </si>
  <si>
    <t>CARMELO JOSE SOBRAL DELGADO</t>
  </si>
  <si>
    <t>REPRESENTAR A COPERGÁS NO COMITÊ DE SMS DA ABEGAS</t>
  </si>
  <si>
    <t>3° REUNIÃO DE HARMONIZAÇÃO DOS DPR's ABEGÁS NORDESTE</t>
  </si>
  <si>
    <t>REUNIÃO ORDINÁRIA ASSOCIADOS ABEGAS</t>
  </si>
  <si>
    <t>DTC - DIRETORIA TECNICO - COMERCIAL</t>
  </si>
  <si>
    <t>00000</t>
  </si>
  <si>
    <t>SEMINÁRIO SISTEMA MULTICAMADAS E REUNIÃO COMITÊ DE INOVAÇÃO</t>
  </si>
  <si>
    <t>THALES JOSE DE GOES HOLANDA</t>
  </si>
  <si>
    <t>PARTICIPAÇÃO NO EVENTO DO SEGMENTO RESIDENCIAL ORGANIZADO PELA BAHIAGÁS</t>
  </si>
  <si>
    <t>GARANHUNS</t>
  </si>
  <si>
    <t>ANTONIO CARLOS VERAS DE OLIVEIRA</t>
  </si>
  <si>
    <t>PROSPEÇÃO COMERCIAL DO MUNICIPIO DE GARANHUNS INDUSTRIAL E VEICULAR</t>
  </si>
  <si>
    <t>GCVI - GERENCIA DE COMERC. VEICULAR/INDUSTRIA</t>
  </si>
  <si>
    <t>VIAGEM REALIZADA CO O CARRO DA FROTA (COPERGAS)</t>
  </si>
  <si>
    <t xml:space="preserve"> ENGENHEIRO DE SUPORTE TÉCNICO</t>
  </si>
  <si>
    <t>SUPERVISOR DO SEGMENTO COMERCIAL</t>
  </si>
  <si>
    <t>COORDENADOR DE QSMS</t>
  </si>
  <si>
    <t>000013</t>
  </si>
  <si>
    <t>000083</t>
  </si>
  <si>
    <t>000153</t>
  </si>
  <si>
    <t>HENRIQUE PAASHAUS ACIOLY DE MELO</t>
  </si>
  <si>
    <t>CLCO - COORDENADORIA DE CONTRATACAO E LICITAÇÃO</t>
  </si>
  <si>
    <t>FÓRUM DE EQUALIZAÇÃO DE EDITAIS</t>
  </si>
  <si>
    <t xml:space="preserve"> COORDENADOR DE CONTRATAÇÃO E PLANEJAMENTO</t>
  </si>
  <si>
    <t>GETULIO ALVES DE MELO MENDONCA JUNIOR</t>
  </si>
  <si>
    <t>GESTOR DE OBRAS</t>
  </si>
  <si>
    <t>GETI - GERENCIA DE TECNOLOGIA DA INFORMACAO</t>
  </si>
  <si>
    <t xml:space="preserve">REUNIÃO DAS CDL's REFERENTE AO PROJETO GGÁS </t>
  </si>
  <si>
    <t>REUNIÃO DE CONTADORES DA ABEGAS</t>
  </si>
  <si>
    <t xml:space="preserve">SEMINÁRIO - 45 QUESTÕES POLÊMICAS SOBRE LICITAÇÕES E CONTRATOS DAS ESTATAIS </t>
  </si>
  <si>
    <t>SHEILA MAYANE BARBOSA DE SANTANA</t>
  </si>
  <si>
    <t>000157</t>
  </si>
  <si>
    <t>REUNIÃO NA VIEIRANO ADVOGADOS SOBRE DEMANDA REGULATÓRIA</t>
  </si>
  <si>
    <t>DAF - DIRETORIA ADMINISTRATIVO FINANCEIRO</t>
  </si>
  <si>
    <t xml:space="preserve">CE </t>
  </si>
  <si>
    <t>REUNIÃO COM OS PRESIDENTES E DIRETORES DAS DISTRIBUIDORAS DE GN DO NORDESTE</t>
  </si>
  <si>
    <t>JOAO EULINO DA SILVA NETO</t>
  </si>
  <si>
    <t>16/0818</t>
  </si>
  <si>
    <t>CONFERÊNCIA GARTNER SEGURANÇA E GESTÃO DE RISCO E VISITA AS EMPRESAS ECOGEN E TRENMICRO</t>
  </si>
  <si>
    <t>000236</t>
  </si>
  <si>
    <t xml:space="preserve">REUNIÃO TÉCNICA ZÊNITE </t>
  </si>
  <si>
    <t>GLOBAL OPERATION (GCVI/GCRC) E ÁREA OPERAÇÃO E MANUTENÇÃO</t>
  </si>
  <si>
    <t>LUIZ FLAVIO BESERRA DE ARAUJO</t>
  </si>
  <si>
    <t>GDIS - COORDENADORIA DE DISTRIBUICAO</t>
  </si>
  <si>
    <t xml:space="preserve">CURSO INSPEÇÃO DE TUBULAÇÕES E DUSTOS INDUSTRIAIS </t>
  </si>
  <si>
    <t>000181</t>
  </si>
  <si>
    <t xml:space="preserve">6º SEMINÁRIO DE GESTÃO DE DISTRIBUIÇÃO DE GÁS NATURAL </t>
  </si>
  <si>
    <t>JULIANE SOARES DE ALBUQUERQUE</t>
  </si>
  <si>
    <t>JULIANA DE OLIVEIRA NERY</t>
  </si>
  <si>
    <t>REBEKA RODRIGUES LOBO</t>
  </si>
  <si>
    <t>SILVANA MARIA VICTOR DE GODOY</t>
  </si>
  <si>
    <t>TREINAMENTO GESTÃO DE EVENTOS</t>
  </si>
  <si>
    <t>HUBERT HIRSCHLE FILHO</t>
  </si>
  <si>
    <t>CURSO GOVERNACE, RISK &amp; COMPLIACE</t>
  </si>
  <si>
    <t>GERH - GERENCIA DE RECURSOS HUMANOS</t>
  </si>
  <si>
    <t>COMUN - COMUNICACAO</t>
  </si>
  <si>
    <t>CCIN - COORDENADORIA DE CONTROLE INTERNO</t>
  </si>
  <si>
    <t xml:space="preserve">GERENTE FINANCEIRA </t>
  </si>
  <si>
    <t>000061</t>
  </si>
  <si>
    <t>000205</t>
  </si>
  <si>
    <t>000229</t>
  </si>
  <si>
    <t>000299</t>
  </si>
  <si>
    <t>000053</t>
  </si>
  <si>
    <t>SUPERVISOR DE ORÇAMENTO E CONTAS A PAGAR</t>
  </si>
  <si>
    <t>GERENTE DE RECURSOS HUMANOS</t>
  </si>
  <si>
    <t>SUPERVISORA DE CAPACITAÇÃO E DESENVOLVIMENTO DE EQUIPE</t>
  </si>
  <si>
    <t>SUPERVISORA DE TI</t>
  </si>
  <si>
    <t>GESTORA DE COMUNICAÇÃO</t>
  </si>
  <si>
    <t>COORDENADOR DE CONTROLE INTERNO</t>
  </si>
  <si>
    <t>TREINAMENTO DE PROTEÇÃO CONTRA DESCARGAS ATMOSFÉRICAS</t>
  </si>
  <si>
    <t xml:space="preserve">RJ </t>
  </si>
  <si>
    <t>REUNIÃO ESCRITÓRIO DE ADVOCACIA E ASSEMBLEIA ABEGAS E RJ</t>
  </si>
  <si>
    <t>REUNIÃO ESCRITÓRIO DE ADVOCACIA LEITE E TOSTO</t>
  </si>
  <si>
    <t>FABIO EDUARDO MORGADO</t>
  </si>
  <si>
    <t>RODRIGO DE BARROS SILVA</t>
  </si>
  <si>
    <t xml:space="preserve">PARTICIPAÇÃO DA FEIRA RIO OIL AND GAS </t>
  </si>
  <si>
    <t>GMAR - COORDENADORIA DE MED. E ANALISE DE RED</t>
  </si>
  <si>
    <t>RAFAEL HENRIQUE TAVARES BEZERRA MENDES</t>
  </si>
  <si>
    <t>000346</t>
  </si>
  <si>
    <t>000204</t>
  </si>
  <si>
    <t>000087</t>
  </si>
  <si>
    <t>TECNICO OPERACIONAL DE OPERAÇÕES</t>
  </si>
  <si>
    <t>GESTOR DE MEDIÇÃOE CONTROLE</t>
  </si>
  <si>
    <t>COORDENADOR DE MEDIÇÃO E ANALISE DE REDE</t>
  </si>
  <si>
    <t>NATALIA FRAZAO NASCIMENTO</t>
  </si>
  <si>
    <t>BH</t>
  </si>
  <si>
    <t>BELO HORIZONTE</t>
  </si>
  <si>
    <t xml:space="preserve">33° CONGRESSO BRASILEIRO DE MANUTENÇÃO E GESTÃO DE ATIVOS </t>
  </si>
  <si>
    <t>PORTO ALEGRE</t>
  </si>
  <si>
    <t>RS</t>
  </si>
  <si>
    <t>TREINAMENTO SOBRE ELABORAÇÃO E ARTICULAÇÃO DE DOCUMENTOS TRABALHISTA</t>
  </si>
  <si>
    <t>QSMS - QUALIDADE, SEGURANÇA, MEIO AMB. E SAUDE</t>
  </si>
  <si>
    <t>REUNIÃO COMITÊ DE SMS DA ABEGAS</t>
  </si>
  <si>
    <t xml:space="preserve">CURSO NEGOCIAÇÃO DE CONTRATOS DE COMPRA E VENDA </t>
  </si>
  <si>
    <t>WALTER SANTANA DE SOUZA FILHO</t>
  </si>
  <si>
    <t>CONGRESSO BRASILEIRO DE MANUTENÇÃO E GESTÃO DE ATIVOS</t>
  </si>
  <si>
    <t>WORKSHOP DE GESTÃO DE ATIVOS</t>
  </si>
  <si>
    <t>CLEBSON CAMPELO DA SILVA</t>
  </si>
  <si>
    <t>ORLANDO FERNANDO DA SILVA FILHO</t>
  </si>
  <si>
    <t>TESTE DE ACEITAÇÃO DE FABRICA</t>
  </si>
  <si>
    <t>REUNIÃO ABEGAS</t>
  </si>
  <si>
    <t>EVENTO PREMIAÇÃO - EPOCA NEGOCIOS 360°</t>
  </si>
  <si>
    <t xml:space="preserve">WORKSHOP DE GESTÃO DE ATIVOS PATRIMONIAS </t>
  </si>
  <si>
    <t>ENGENHEIRO DE OPERAÇÕES</t>
  </si>
  <si>
    <t>TECNICO QSMS</t>
  </si>
  <si>
    <t>COORDENADOR QSMS</t>
  </si>
  <si>
    <t>ASSITENTE DE DIRETORIA</t>
  </si>
  <si>
    <t>ANALISTA DE SISTEMAS</t>
  </si>
  <si>
    <t>ENGENHEIRO DE SUPORTE TECNICO</t>
  </si>
  <si>
    <t>TECNICO OPERACIONAL DE MEDIAÇÃO E AUTOMAÇÃO</t>
  </si>
  <si>
    <t>GERENTE DE CONTABILIDADE E FSICAL</t>
  </si>
  <si>
    <t>000226</t>
  </si>
  <si>
    <t>000128</t>
  </si>
  <si>
    <t>000069</t>
  </si>
  <si>
    <t>000074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</si>
</sst>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]#,##0.00"/>
    <numFmt numFmtId="165" formatCode="mmm/yyyy"/>
    <numFmt numFmtId="166" formatCode="[$R$-416]&quot; &quot;#,##0.00;[Red]&quot;-&quot;[$R$-416]&quot; &quot;#,##0.00"/>
    <numFmt numFmtId="167" formatCode="[$R$-416]\ #,##0.00"/>
  </numFmts>
  <fonts count="13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Cambria"/>
      <family val="1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36"/>
      <color rgb="FF000000"/>
      <name val="Cambria"/>
      <family val="1"/>
    </font>
    <font>
      <sz val="10"/>
      <color rgb="FF000000"/>
      <name val="Calibri"/>
      <family val="2"/>
    </font>
    <font>
      <sz val="10"/>
      <color rgb="FF000000"/>
      <name val="Cambria"/>
      <family val="1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DDDDD"/>
        <bgColor rgb="FFDDDDDD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/>
    <xf numFmtId="0" fontId="2" fillId="2" borderId="0" applyNumberFormat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0" fontId="1" fillId="0" borderId="0"/>
  </cellStyleXfs>
  <cellXfs count="79">
    <xf numFmtId="0" fontId="0" fillId="0" borderId="0" xfId="0"/>
    <xf numFmtId="0" fontId="0" fillId="3" borderId="0" xfId="0" applyFill="1" applyAlignment="1"/>
    <xf numFmtId="0" fontId="10" fillId="3" borderId="0" xfId="0" applyFont="1" applyFill="1" applyAlignment="1"/>
    <xf numFmtId="0" fontId="11" fillId="3" borderId="0" xfId="0" applyFont="1" applyFill="1"/>
    <xf numFmtId="0" fontId="11" fillId="0" borderId="0" xfId="0" applyFont="1"/>
    <xf numFmtId="0" fontId="8" fillId="3" borderId="0" xfId="0" applyFont="1" applyFill="1" applyAlignment="1"/>
    <xf numFmtId="0" fontId="6" fillId="3" borderId="0" xfId="0" applyFont="1" applyFill="1"/>
    <xf numFmtId="0" fontId="9" fillId="3" borderId="0" xfId="0" applyFont="1" applyFill="1" applyAlignment="1"/>
    <xf numFmtId="165" fontId="5" fillId="0" borderId="1" xfId="0" applyNumberFormat="1" applyFont="1" applyBorder="1" applyAlignment="1">
      <alignment horizontal="right"/>
    </xf>
    <xf numFmtId="0" fontId="0" fillId="5" borderId="0" xfId="0" applyFill="1"/>
    <xf numFmtId="0" fontId="7" fillId="5" borderId="0" xfId="0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12" fillId="3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 wrapText="1"/>
    </xf>
    <xf numFmtId="164" fontId="12" fillId="3" borderId="1" xfId="0" applyNumberFormat="1" applyFont="1" applyFill="1" applyBorder="1" applyAlignment="1">
      <alignment horizontal="center" vertical="top"/>
    </xf>
    <xf numFmtId="14" fontId="12" fillId="3" borderId="1" xfId="0" applyNumberFormat="1" applyFont="1" applyFill="1" applyBorder="1" applyAlignment="1">
      <alignment horizontal="center" vertical="top"/>
    </xf>
    <xf numFmtId="14" fontId="12" fillId="3" borderId="2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9" fontId="12" fillId="3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top"/>
    </xf>
    <xf numFmtId="49" fontId="12" fillId="6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/>
    </xf>
    <xf numFmtId="167" fontId="12" fillId="6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top" wrapText="1"/>
    </xf>
    <xf numFmtId="14" fontId="12" fillId="6" borderId="4" xfId="0" applyNumberFormat="1" applyFont="1" applyFill="1" applyBorder="1" applyAlignment="1">
      <alignment horizontal="center" vertical="center"/>
    </xf>
    <xf numFmtId="164" fontId="12" fillId="6" borderId="5" xfId="0" applyNumberFormat="1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67" fontId="12" fillId="6" borderId="5" xfId="0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top"/>
    </xf>
    <xf numFmtId="164" fontId="12" fillId="6" borderId="6" xfId="0" applyNumberFormat="1" applyFont="1" applyFill="1" applyBorder="1" applyAlignment="1">
      <alignment horizontal="center" vertical="center"/>
    </xf>
    <xf numFmtId="0" fontId="0" fillId="0" borderId="3" xfId="0" applyBorder="1"/>
    <xf numFmtId="164" fontId="12" fillId="6" borderId="3" xfId="0" applyNumberFormat="1" applyFont="1" applyFill="1" applyBorder="1" applyAlignment="1">
      <alignment horizontal="center" vertical="center"/>
    </xf>
    <xf numFmtId="167" fontId="12" fillId="6" borderId="3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164" fontId="12" fillId="6" borderId="2" xfId="0" applyNumberFormat="1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" xfId="0" applyFont="1" applyFill="1" applyBorder="1" applyAlignment="1"/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12" fillId="6" borderId="3" xfId="0" applyNumberFormat="1" applyFont="1" applyFill="1" applyBorder="1" applyAlignment="1">
      <alignment horizontal="center" vertical="center"/>
    </xf>
    <xf numFmtId="164" fontId="12" fillId="6" borderId="9" xfId="0" applyNumberFormat="1" applyFont="1" applyFill="1" applyBorder="1" applyAlignment="1">
      <alignment horizontal="center" vertical="center"/>
    </xf>
    <xf numFmtId="164" fontId="12" fillId="6" borderId="10" xfId="0" applyNumberFormat="1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top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167" fontId="12" fillId="6" borderId="3" xfId="0" applyNumberFormat="1" applyFont="1" applyFill="1" applyBorder="1" applyAlignment="1">
      <alignment horizontal="center" vertical="center"/>
    </xf>
    <xf numFmtId="49" fontId="12" fillId="6" borderId="5" xfId="0" applyNumberFormat="1" applyFont="1" applyFill="1" applyBorder="1" applyAlignment="1">
      <alignment horizontal="center" vertical="center"/>
    </xf>
    <xf numFmtId="49" fontId="12" fillId="6" borderId="6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top"/>
    </xf>
    <xf numFmtId="0" fontId="11" fillId="7" borderId="6" xfId="0" applyFont="1" applyFill="1" applyBorder="1" applyAlignment="1">
      <alignment horizontal="center" vertical="top"/>
    </xf>
    <xf numFmtId="164" fontId="12" fillId="6" borderId="5" xfId="0" applyNumberFormat="1" applyFont="1" applyFill="1" applyBorder="1" applyAlignment="1">
      <alignment horizontal="center" vertical="center"/>
    </xf>
    <xf numFmtId="164" fontId="12" fillId="6" borderId="6" xfId="0" applyNumberFormat="1" applyFont="1" applyFill="1" applyBorder="1" applyAlignment="1">
      <alignment horizontal="center" vertical="center"/>
    </xf>
    <xf numFmtId="167" fontId="12" fillId="6" borderId="5" xfId="0" applyNumberFormat="1" applyFont="1" applyFill="1" applyBorder="1" applyAlignment="1">
      <alignment horizontal="center" vertical="center"/>
    </xf>
    <xf numFmtId="167" fontId="12" fillId="6" borderId="6" xfId="0" applyNumberFormat="1" applyFont="1" applyFill="1" applyBorder="1" applyAlignment="1">
      <alignment horizontal="center" vertical="center"/>
    </xf>
    <xf numFmtId="14" fontId="12" fillId="6" borderId="5" xfId="0" applyNumberFormat="1" applyFont="1" applyFill="1" applyBorder="1" applyAlignment="1">
      <alignment horizontal="center" vertical="center"/>
    </xf>
    <xf numFmtId="14" fontId="12" fillId="6" borderId="6" xfId="0" applyNumberFormat="1" applyFont="1" applyFill="1" applyBorder="1" applyAlignment="1">
      <alignment horizontal="center" vertical="center"/>
    </xf>
  </cellXfs>
  <cellStyles count="7">
    <cellStyle name="ConditionalStyle_1" xfId="1"/>
    <cellStyle name="Heading" xfId="2"/>
    <cellStyle name="Heading1" xfId="3"/>
    <cellStyle name="Normal" xfId="0" builtinId="0" customBuiltin="1"/>
    <cellStyle name="Normal 2" xfId="6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opLeftCell="A2" workbookViewId="0">
      <selection activeCell="E14" sqref="E14"/>
    </sheetView>
  </sheetViews>
  <sheetFormatPr defaultRowHeight="15" customHeight="1" x14ac:dyDescent="0.2"/>
  <cols>
    <col min="1" max="1" width="8.625" customWidth="1"/>
    <col min="2" max="2" width="10.75" customWidth="1"/>
    <col min="3" max="3" width="44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1" t="s">
        <v>0</v>
      </c>
      <c r="W5" s="51"/>
      <c r="X5" s="8">
        <v>42917</v>
      </c>
    </row>
    <row r="6" spans="1:24" x14ac:dyDescent="0.2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x14ac:dyDescent="0.25">
      <c r="A7" s="52" t="s">
        <v>5</v>
      </c>
      <c r="B7" s="52"/>
      <c r="C7" s="52" t="s">
        <v>6</v>
      </c>
      <c r="D7" s="52"/>
      <c r="E7" s="52"/>
      <c r="F7" s="52" t="s">
        <v>3</v>
      </c>
      <c r="G7" s="52"/>
      <c r="H7" s="52"/>
      <c r="I7" s="52"/>
      <c r="J7" s="52"/>
      <c r="K7" s="52"/>
      <c r="L7" s="52"/>
      <c r="M7" s="52"/>
      <c r="N7" s="52" t="s">
        <v>7</v>
      </c>
      <c r="O7" s="52"/>
      <c r="P7" s="52"/>
      <c r="Q7" s="52" t="s">
        <v>1</v>
      </c>
      <c r="R7" s="52"/>
      <c r="S7" s="52"/>
      <c r="T7" s="52"/>
      <c r="U7" s="52"/>
      <c r="V7" s="52"/>
      <c r="W7" s="52" t="s">
        <v>8</v>
      </c>
      <c r="X7" s="52" t="s">
        <v>9</v>
      </c>
    </row>
    <row r="8" spans="1:24" s="9" customFormat="1" x14ac:dyDescent="0.25">
      <c r="A8" s="53" t="s">
        <v>10</v>
      </c>
      <c r="B8" s="53" t="s">
        <v>11</v>
      </c>
      <c r="C8" s="53" t="s">
        <v>12</v>
      </c>
      <c r="D8" s="53" t="s">
        <v>13</v>
      </c>
      <c r="E8" s="53" t="s">
        <v>14</v>
      </c>
      <c r="F8" s="53" t="s">
        <v>15</v>
      </c>
      <c r="G8" s="53" t="s">
        <v>16</v>
      </c>
      <c r="H8" s="53" t="s">
        <v>17</v>
      </c>
      <c r="I8" s="53"/>
      <c r="J8" s="54" t="s">
        <v>18</v>
      </c>
      <c r="K8" s="54"/>
      <c r="L8" s="53" t="s">
        <v>19</v>
      </c>
      <c r="M8" s="53" t="s">
        <v>20</v>
      </c>
      <c r="N8" s="54" t="s">
        <v>21</v>
      </c>
      <c r="O8" s="54" t="s">
        <v>22</v>
      </c>
      <c r="P8" s="54" t="s">
        <v>23</v>
      </c>
      <c r="Q8" s="54" t="s">
        <v>24</v>
      </c>
      <c r="R8" s="54"/>
      <c r="S8" s="54" t="s">
        <v>25</v>
      </c>
      <c r="T8" s="54"/>
      <c r="U8" s="53" t="s">
        <v>26</v>
      </c>
      <c r="V8" s="54" t="s">
        <v>23</v>
      </c>
      <c r="W8" s="52"/>
      <c r="X8" s="52"/>
    </row>
    <row r="9" spans="1:24" s="9" customFormat="1" x14ac:dyDescent="0.25">
      <c r="A9" s="53"/>
      <c r="B9" s="53"/>
      <c r="C9" s="53"/>
      <c r="D9" s="53"/>
      <c r="E9" s="53"/>
      <c r="F9" s="53"/>
      <c r="G9" s="53"/>
      <c r="H9" s="10" t="s">
        <v>27</v>
      </c>
      <c r="I9" s="10" t="s">
        <v>28</v>
      </c>
      <c r="J9" s="10" t="s">
        <v>27</v>
      </c>
      <c r="K9" s="11" t="s">
        <v>29</v>
      </c>
      <c r="L9" s="53"/>
      <c r="M9" s="53"/>
      <c r="N9" s="54"/>
      <c r="O9" s="54"/>
      <c r="P9" s="54"/>
      <c r="Q9" s="10" t="s">
        <v>2</v>
      </c>
      <c r="R9" s="11" t="s">
        <v>30</v>
      </c>
      <c r="S9" s="10" t="s">
        <v>2</v>
      </c>
      <c r="T9" s="11" t="s">
        <v>30</v>
      </c>
      <c r="U9" s="53"/>
      <c r="V9" s="54"/>
      <c r="W9" s="52"/>
      <c r="X9" s="52"/>
    </row>
    <row r="10" spans="1:24" ht="25.5" x14ac:dyDescent="0.2">
      <c r="A10" s="19" t="s">
        <v>34</v>
      </c>
      <c r="B10" s="19" t="s">
        <v>35</v>
      </c>
      <c r="C10" s="19" t="s">
        <v>36</v>
      </c>
      <c r="D10" s="19">
        <v>66</v>
      </c>
      <c r="E10" s="20" t="s">
        <v>52</v>
      </c>
      <c r="F10" s="20" t="s">
        <v>37</v>
      </c>
      <c r="G10" s="21" t="s">
        <v>31</v>
      </c>
      <c r="H10" s="19" t="s">
        <v>32</v>
      </c>
      <c r="I10" s="19" t="s">
        <v>33</v>
      </c>
      <c r="J10" s="19" t="s">
        <v>38</v>
      </c>
      <c r="K10" s="22" t="s">
        <v>39</v>
      </c>
      <c r="L10" s="23">
        <v>42926</v>
      </c>
      <c r="M10" s="23">
        <v>42928</v>
      </c>
      <c r="N10" s="22">
        <f>639.67/2</f>
        <v>319.83499999999998</v>
      </c>
      <c r="O10" s="22">
        <f>639.67/2</f>
        <v>319.83499999999998</v>
      </c>
      <c r="P10" s="22">
        <f>N10+O10</f>
        <v>639.66999999999996</v>
      </c>
      <c r="Q10" s="19">
        <v>3</v>
      </c>
      <c r="R10" s="22">
        <v>120</v>
      </c>
      <c r="S10" s="19"/>
      <c r="T10" s="22"/>
      <c r="U10" s="24">
        <f>(Q10*R10)+(S10*T10)</f>
        <v>360</v>
      </c>
      <c r="V10" s="22">
        <f>P10+U10</f>
        <v>999.67</v>
      </c>
      <c r="W10" s="22">
        <f>V10</f>
        <v>999.67</v>
      </c>
      <c r="X10" s="12"/>
    </row>
    <row r="11" spans="1:24" ht="38.25" x14ac:dyDescent="0.2">
      <c r="A11" s="12" t="s">
        <v>34</v>
      </c>
      <c r="B11" s="12" t="s">
        <v>35</v>
      </c>
      <c r="C11" s="12" t="s">
        <v>40</v>
      </c>
      <c r="D11" s="19">
        <v>129</v>
      </c>
      <c r="E11" s="14" t="s">
        <v>53</v>
      </c>
      <c r="F11" s="14" t="s">
        <v>41</v>
      </c>
      <c r="G11" s="21" t="s">
        <v>31</v>
      </c>
      <c r="H11" s="19" t="s">
        <v>32</v>
      </c>
      <c r="I11" s="12" t="s">
        <v>33</v>
      </c>
      <c r="J11" s="19" t="s">
        <v>38</v>
      </c>
      <c r="K11" s="22" t="s">
        <v>39</v>
      </c>
      <c r="L11" s="16">
        <v>42940</v>
      </c>
      <c r="M11" s="16">
        <v>42942</v>
      </c>
      <c r="N11" s="22">
        <f>676.03/2</f>
        <v>338.01499999999999</v>
      </c>
      <c r="O11" s="22">
        <f>676.03/2</f>
        <v>338.01499999999999</v>
      </c>
      <c r="P11" s="22">
        <f>N11+O11</f>
        <v>676.03</v>
      </c>
      <c r="Q11" s="12">
        <v>3</v>
      </c>
      <c r="R11" s="15">
        <v>120</v>
      </c>
      <c r="S11" s="12"/>
      <c r="T11" s="15"/>
      <c r="U11" s="24">
        <f t="shared" ref="U11:U15" si="0">(Q11*R11)+(S11*T11)</f>
        <v>360</v>
      </c>
      <c r="V11" s="22">
        <f t="shared" ref="V11:V15" si="1">P11+U11</f>
        <v>1036.03</v>
      </c>
      <c r="W11" s="22">
        <f t="shared" ref="W11:W15" si="2">V11</f>
        <v>1036.03</v>
      </c>
      <c r="X11" s="12"/>
    </row>
    <row r="12" spans="1:24" ht="38.25" x14ac:dyDescent="0.2">
      <c r="A12" s="12" t="s">
        <v>44</v>
      </c>
      <c r="B12" s="12" t="s">
        <v>45</v>
      </c>
      <c r="C12" s="14" t="s">
        <v>42</v>
      </c>
      <c r="D12" s="19">
        <v>232</v>
      </c>
      <c r="E12" s="14" t="s">
        <v>54</v>
      </c>
      <c r="F12" s="25" t="s">
        <v>43</v>
      </c>
      <c r="G12" s="21" t="s">
        <v>31</v>
      </c>
      <c r="H12" s="19" t="s">
        <v>32</v>
      </c>
      <c r="I12" s="12" t="s">
        <v>33</v>
      </c>
      <c r="J12" s="19" t="s">
        <v>38</v>
      </c>
      <c r="K12" s="22" t="s">
        <v>39</v>
      </c>
      <c r="L12" s="16">
        <v>42935</v>
      </c>
      <c r="M12" s="16">
        <v>42937</v>
      </c>
      <c r="N12" s="22">
        <f>650.64/2</f>
        <v>325.32</v>
      </c>
      <c r="O12" s="22">
        <f>650.64/2</f>
        <v>325.32</v>
      </c>
      <c r="P12" s="22">
        <f t="shared" ref="P12:P15" si="3">N12+O12</f>
        <v>650.64</v>
      </c>
      <c r="Q12" s="12">
        <v>7</v>
      </c>
      <c r="R12" s="15">
        <v>120</v>
      </c>
      <c r="S12" s="12"/>
      <c r="T12" s="15"/>
      <c r="U12" s="24">
        <f t="shared" si="0"/>
        <v>840</v>
      </c>
      <c r="V12" s="22">
        <f t="shared" si="1"/>
        <v>1490.6399999999999</v>
      </c>
      <c r="W12" s="22">
        <f t="shared" si="2"/>
        <v>1490.6399999999999</v>
      </c>
      <c r="X12" s="12"/>
    </row>
    <row r="13" spans="1:24" ht="25.5" x14ac:dyDescent="0.2">
      <c r="A13" s="12" t="s">
        <v>34</v>
      </c>
      <c r="B13" s="12" t="s">
        <v>34</v>
      </c>
      <c r="C13" s="12" t="s">
        <v>46</v>
      </c>
      <c r="D13" s="12"/>
      <c r="E13" s="14" t="s">
        <v>55</v>
      </c>
      <c r="F13" s="14" t="s">
        <v>47</v>
      </c>
      <c r="G13" s="21" t="s">
        <v>31</v>
      </c>
      <c r="H13" s="19" t="s">
        <v>32</v>
      </c>
      <c r="I13" s="12" t="s">
        <v>33</v>
      </c>
      <c r="J13" s="19" t="s">
        <v>38</v>
      </c>
      <c r="K13" s="22" t="s">
        <v>39</v>
      </c>
      <c r="L13" s="17">
        <v>42936</v>
      </c>
      <c r="M13" s="17">
        <v>42937</v>
      </c>
      <c r="N13" s="22">
        <f>713.1/2</f>
        <v>356.55</v>
      </c>
      <c r="O13" s="22">
        <f>713.1/2</f>
        <v>356.55</v>
      </c>
      <c r="P13" s="22">
        <f t="shared" si="3"/>
        <v>713.1</v>
      </c>
      <c r="Q13" s="18"/>
      <c r="R13" s="18"/>
      <c r="S13" s="18"/>
      <c r="T13" s="15"/>
      <c r="U13" s="24">
        <f t="shared" si="0"/>
        <v>0</v>
      </c>
      <c r="V13" s="22">
        <f t="shared" si="1"/>
        <v>713.1</v>
      </c>
      <c r="W13" s="22">
        <f t="shared" si="2"/>
        <v>713.1</v>
      </c>
      <c r="X13" s="18"/>
    </row>
    <row r="14" spans="1:24" ht="25.5" x14ac:dyDescent="0.2">
      <c r="A14" s="12" t="s">
        <v>49</v>
      </c>
      <c r="B14" s="12" t="s">
        <v>50</v>
      </c>
      <c r="C14" s="12" t="s">
        <v>48</v>
      </c>
      <c r="D14" s="12">
        <v>56</v>
      </c>
      <c r="E14" s="14" t="s">
        <v>56</v>
      </c>
      <c r="F14" s="14" t="s">
        <v>47</v>
      </c>
      <c r="G14" s="21" t="s">
        <v>31</v>
      </c>
      <c r="H14" s="19" t="s">
        <v>32</v>
      </c>
      <c r="I14" s="12" t="s">
        <v>33</v>
      </c>
      <c r="J14" s="19" t="s">
        <v>38</v>
      </c>
      <c r="K14" s="22" t="s">
        <v>39</v>
      </c>
      <c r="L14" s="16">
        <v>42936</v>
      </c>
      <c r="M14" s="16">
        <v>42937</v>
      </c>
      <c r="N14" s="22">
        <f>877.49/2</f>
        <v>438.745</v>
      </c>
      <c r="O14" s="22">
        <f>877.49/2</f>
        <v>438.745</v>
      </c>
      <c r="P14" s="22">
        <f t="shared" si="3"/>
        <v>877.49</v>
      </c>
      <c r="Q14" s="13">
        <v>4</v>
      </c>
      <c r="R14" s="15">
        <v>120</v>
      </c>
      <c r="S14" s="18"/>
      <c r="T14" s="15"/>
      <c r="U14" s="24">
        <f t="shared" si="0"/>
        <v>480</v>
      </c>
      <c r="V14" s="22">
        <f t="shared" si="1"/>
        <v>1357.49</v>
      </c>
      <c r="W14" s="22">
        <f t="shared" si="2"/>
        <v>1357.49</v>
      </c>
      <c r="X14" s="18"/>
    </row>
    <row r="15" spans="1:24" ht="25.5" x14ac:dyDescent="0.2">
      <c r="A15" s="12" t="s">
        <v>34</v>
      </c>
      <c r="B15" s="12" t="s">
        <v>34</v>
      </c>
      <c r="C15" s="12" t="s">
        <v>46</v>
      </c>
      <c r="D15" s="12"/>
      <c r="E15" s="14" t="s">
        <v>55</v>
      </c>
      <c r="F15" s="14" t="s">
        <v>51</v>
      </c>
      <c r="G15" s="21" t="s">
        <v>31</v>
      </c>
      <c r="H15" s="19" t="s">
        <v>32</v>
      </c>
      <c r="I15" s="12" t="s">
        <v>33</v>
      </c>
      <c r="J15" s="19" t="s">
        <v>38</v>
      </c>
      <c r="K15" s="22" t="s">
        <v>39</v>
      </c>
      <c r="L15" s="16">
        <v>42942</v>
      </c>
      <c r="M15" s="16">
        <v>42943</v>
      </c>
      <c r="N15" s="22">
        <f>1084.29/2</f>
        <v>542.14499999999998</v>
      </c>
      <c r="O15" s="22">
        <f>1084.29/2</f>
        <v>542.14499999999998</v>
      </c>
      <c r="P15" s="22">
        <f t="shared" si="3"/>
        <v>1084.29</v>
      </c>
      <c r="Q15" s="13"/>
      <c r="R15" s="15"/>
      <c r="S15" s="18"/>
      <c r="T15" s="15"/>
      <c r="U15" s="24">
        <f t="shared" si="0"/>
        <v>0</v>
      </c>
      <c r="V15" s="22">
        <f t="shared" si="1"/>
        <v>1084.29</v>
      </c>
      <c r="W15" s="22">
        <f t="shared" si="2"/>
        <v>1084.29</v>
      </c>
      <c r="X15" s="18"/>
    </row>
    <row r="16" spans="1:24" ht="14.25" x14ac:dyDescent="0.2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4"/>
      <c r="S16" s="4"/>
      <c r="T16" s="4"/>
      <c r="U16" s="4"/>
      <c r="V16" s="4"/>
      <c r="W16" s="4"/>
      <c r="X16" s="4"/>
    </row>
    <row r="17" spans="1:16" ht="45" x14ac:dyDescent="0.6">
      <c r="A17" s="5"/>
      <c r="B17" s="6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4.25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4.2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4.25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4.25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</sheetData>
  <mergeCells count="27">
    <mergeCell ref="V8:V9"/>
    <mergeCell ref="N8:N9"/>
    <mergeCell ref="P8:P9"/>
    <mergeCell ref="Q8:R8"/>
    <mergeCell ref="S8:T8"/>
    <mergeCell ref="U8:U9"/>
    <mergeCell ref="G8:G9"/>
    <mergeCell ref="H8:I8"/>
    <mergeCell ref="J8:K8"/>
    <mergeCell ref="L8:L9"/>
    <mergeCell ref="M8:M9"/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16" sqref="A16:E16"/>
    </sheetView>
  </sheetViews>
  <sheetFormatPr defaultRowHeight="15" customHeight="1" x14ac:dyDescent="0.2"/>
  <cols>
    <col min="1" max="1" width="19.125" customWidth="1"/>
    <col min="2" max="2" width="28.875" bestFit="1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23" width="18" customWidth="1"/>
    <col min="24" max="24" width="42.5" bestFit="1" customWidth="1"/>
    <col min="25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1" t="s">
        <v>0</v>
      </c>
      <c r="W5" s="51"/>
      <c r="X5" s="8">
        <v>43252</v>
      </c>
    </row>
    <row r="6" spans="1:24" x14ac:dyDescent="0.2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x14ac:dyDescent="0.25">
      <c r="A7" s="52" t="s">
        <v>5</v>
      </c>
      <c r="B7" s="52"/>
      <c r="C7" s="52" t="s">
        <v>6</v>
      </c>
      <c r="D7" s="52"/>
      <c r="E7" s="52"/>
      <c r="F7" s="52" t="s">
        <v>3</v>
      </c>
      <c r="G7" s="52"/>
      <c r="H7" s="52"/>
      <c r="I7" s="52"/>
      <c r="J7" s="52"/>
      <c r="K7" s="52"/>
      <c r="L7" s="52"/>
      <c r="M7" s="52"/>
      <c r="N7" s="52" t="s">
        <v>7</v>
      </c>
      <c r="O7" s="52"/>
      <c r="P7" s="52"/>
      <c r="Q7" s="52" t="s">
        <v>1</v>
      </c>
      <c r="R7" s="52"/>
      <c r="S7" s="52"/>
      <c r="T7" s="52"/>
      <c r="U7" s="52"/>
      <c r="V7" s="52"/>
      <c r="W7" s="52" t="s">
        <v>8</v>
      </c>
      <c r="X7" s="52" t="s">
        <v>9</v>
      </c>
    </row>
    <row r="8" spans="1:24" s="9" customFormat="1" x14ac:dyDescent="0.25">
      <c r="A8" s="53" t="s">
        <v>10</v>
      </c>
      <c r="B8" s="53" t="s">
        <v>11</v>
      </c>
      <c r="C8" s="53" t="s">
        <v>12</v>
      </c>
      <c r="D8" s="53" t="s">
        <v>13</v>
      </c>
      <c r="E8" s="53" t="s">
        <v>14</v>
      </c>
      <c r="F8" s="53" t="s">
        <v>15</v>
      </c>
      <c r="G8" s="53" t="s">
        <v>16</v>
      </c>
      <c r="H8" s="53" t="s">
        <v>17</v>
      </c>
      <c r="I8" s="53"/>
      <c r="J8" s="54" t="s">
        <v>18</v>
      </c>
      <c r="K8" s="54"/>
      <c r="L8" s="53" t="s">
        <v>19</v>
      </c>
      <c r="M8" s="53" t="s">
        <v>20</v>
      </c>
      <c r="N8" s="54" t="s">
        <v>21</v>
      </c>
      <c r="O8" s="54" t="s">
        <v>22</v>
      </c>
      <c r="P8" s="54" t="s">
        <v>23</v>
      </c>
      <c r="Q8" s="54" t="s">
        <v>24</v>
      </c>
      <c r="R8" s="54"/>
      <c r="S8" s="54" t="s">
        <v>25</v>
      </c>
      <c r="T8" s="54"/>
      <c r="U8" s="53" t="s">
        <v>26</v>
      </c>
      <c r="V8" s="54" t="s">
        <v>23</v>
      </c>
      <c r="W8" s="52"/>
      <c r="X8" s="52"/>
    </row>
    <row r="9" spans="1:24" s="9" customFormat="1" ht="17.25" customHeight="1" x14ac:dyDescent="0.25">
      <c r="A9" s="53"/>
      <c r="B9" s="53"/>
      <c r="C9" s="53"/>
      <c r="D9" s="53"/>
      <c r="E9" s="53"/>
      <c r="F9" s="53"/>
      <c r="G9" s="53"/>
      <c r="H9" s="10" t="s">
        <v>27</v>
      </c>
      <c r="I9" s="10" t="s">
        <v>28</v>
      </c>
      <c r="J9" s="10" t="s">
        <v>27</v>
      </c>
      <c r="K9" s="11" t="s">
        <v>29</v>
      </c>
      <c r="L9" s="53"/>
      <c r="M9" s="53"/>
      <c r="N9" s="54"/>
      <c r="O9" s="54"/>
      <c r="P9" s="54"/>
      <c r="Q9" s="10" t="s">
        <v>2</v>
      </c>
      <c r="R9" s="11" t="s">
        <v>30</v>
      </c>
      <c r="S9" s="10" t="s">
        <v>2</v>
      </c>
      <c r="T9" s="11" t="s">
        <v>30</v>
      </c>
      <c r="U9" s="53"/>
      <c r="V9" s="54"/>
      <c r="W9" s="52"/>
      <c r="X9" s="52"/>
    </row>
    <row r="10" spans="1:24" ht="47.25" customHeight="1" x14ac:dyDescent="0.2">
      <c r="A10" s="34" t="s">
        <v>231</v>
      </c>
      <c r="B10" s="34" t="s">
        <v>225</v>
      </c>
      <c r="C10" s="34" t="s">
        <v>42</v>
      </c>
      <c r="D10" s="29" t="s">
        <v>68</v>
      </c>
      <c r="E10" s="20" t="s">
        <v>54</v>
      </c>
      <c r="F10" s="34" t="s">
        <v>245</v>
      </c>
      <c r="G10" s="30" t="s">
        <v>31</v>
      </c>
      <c r="H10" s="27" t="s">
        <v>32</v>
      </c>
      <c r="I10" s="27" t="s">
        <v>33</v>
      </c>
      <c r="J10" s="27" t="s">
        <v>38</v>
      </c>
      <c r="K10" s="31" t="s">
        <v>39</v>
      </c>
      <c r="L10" s="35">
        <v>43268</v>
      </c>
      <c r="M10" s="35">
        <v>43270</v>
      </c>
      <c r="N10" s="31">
        <f>1137.13/2</f>
        <v>568.56500000000005</v>
      </c>
      <c r="O10" s="31">
        <f>1137.13/2</f>
        <v>568.56500000000005</v>
      </c>
      <c r="P10" s="31">
        <f>SUM(N10:O10)</f>
        <v>1137.1300000000001</v>
      </c>
      <c r="Q10" s="27">
        <v>6</v>
      </c>
      <c r="R10" s="31">
        <v>120</v>
      </c>
      <c r="S10" s="27">
        <v>0</v>
      </c>
      <c r="T10" s="31">
        <v>0</v>
      </c>
      <c r="U10" s="32">
        <f>(Q10*R10)+(S10*T10)</f>
        <v>720</v>
      </c>
      <c r="V10" s="31">
        <f>U10+P10</f>
        <v>1857.13</v>
      </c>
      <c r="W10" s="31">
        <f>V10</f>
        <v>1857.13</v>
      </c>
      <c r="X10" s="37"/>
    </row>
    <row r="11" spans="1:24" ht="25.5" x14ac:dyDescent="0.2">
      <c r="A11" s="34" t="s">
        <v>232</v>
      </c>
      <c r="B11" s="34" t="s">
        <v>227</v>
      </c>
      <c r="C11" s="27" t="s">
        <v>246</v>
      </c>
      <c r="D11" s="29" t="s">
        <v>263</v>
      </c>
      <c r="E11" s="34" t="s">
        <v>262</v>
      </c>
      <c r="F11" s="34" t="s">
        <v>247</v>
      </c>
      <c r="G11" s="30" t="s">
        <v>31</v>
      </c>
      <c r="H11" s="27" t="s">
        <v>32</v>
      </c>
      <c r="I11" s="27" t="s">
        <v>33</v>
      </c>
      <c r="J11" s="27" t="s">
        <v>38</v>
      </c>
      <c r="K11" s="31" t="s">
        <v>39</v>
      </c>
      <c r="L11" s="35">
        <v>43257</v>
      </c>
      <c r="M11" s="35">
        <v>43259</v>
      </c>
      <c r="N11" s="31">
        <f>933.62/2</f>
        <v>466.81</v>
      </c>
      <c r="O11" s="31">
        <f>933.62/2</f>
        <v>466.81</v>
      </c>
      <c r="P11" s="31">
        <f t="shared" ref="P11:P20" si="0">SUM(N11:O11)</f>
        <v>933.62</v>
      </c>
      <c r="Q11" s="27">
        <v>3</v>
      </c>
      <c r="R11" s="31">
        <v>120</v>
      </c>
      <c r="S11" s="27">
        <v>0</v>
      </c>
      <c r="T11" s="31">
        <v>0</v>
      </c>
      <c r="U11" s="32">
        <f t="shared" ref="U11:U20" si="1">(Q11*R11)+(S11*T11)</f>
        <v>360</v>
      </c>
      <c r="V11" s="31">
        <f t="shared" ref="V11:V15" si="2">U11+P11</f>
        <v>1293.6199999999999</v>
      </c>
      <c r="W11" s="31">
        <f t="shared" ref="W11:W20" si="3">V11</f>
        <v>1293.6199999999999</v>
      </c>
      <c r="X11" s="33"/>
    </row>
    <row r="12" spans="1:24" ht="25.5" x14ac:dyDescent="0.2">
      <c r="A12" s="34" t="s">
        <v>232</v>
      </c>
      <c r="B12" s="34" t="s">
        <v>215</v>
      </c>
      <c r="C12" s="27" t="s">
        <v>48</v>
      </c>
      <c r="D12" s="29" t="s">
        <v>81</v>
      </c>
      <c r="E12" s="20" t="s">
        <v>56</v>
      </c>
      <c r="F12" s="34" t="s">
        <v>248</v>
      </c>
      <c r="G12" s="30" t="s">
        <v>31</v>
      </c>
      <c r="H12" s="27" t="s">
        <v>32</v>
      </c>
      <c r="I12" s="27" t="s">
        <v>33</v>
      </c>
      <c r="J12" s="27" t="s">
        <v>111</v>
      </c>
      <c r="K12" s="31" t="s">
        <v>112</v>
      </c>
      <c r="L12" s="35">
        <v>43258</v>
      </c>
      <c r="M12" s="35">
        <v>43258</v>
      </c>
      <c r="N12" s="31">
        <f>606.46/2</f>
        <v>303.23</v>
      </c>
      <c r="O12" s="31">
        <f>606.46/2</f>
        <v>303.23</v>
      </c>
      <c r="P12" s="31">
        <f t="shared" si="0"/>
        <v>606.46</v>
      </c>
      <c r="Q12" s="27">
        <v>3</v>
      </c>
      <c r="R12" s="31">
        <v>120</v>
      </c>
      <c r="S12" s="27">
        <v>0</v>
      </c>
      <c r="T12" s="31">
        <v>0</v>
      </c>
      <c r="U12" s="32">
        <f t="shared" si="1"/>
        <v>360</v>
      </c>
      <c r="V12" s="31">
        <f t="shared" si="2"/>
        <v>966.46</v>
      </c>
      <c r="W12" s="31">
        <f t="shared" si="3"/>
        <v>966.46</v>
      </c>
      <c r="X12" s="33"/>
    </row>
    <row r="13" spans="1:24" ht="25.5" x14ac:dyDescent="0.2">
      <c r="A13" s="34" t="s">
        <v>232</v>
      </c>
      <c r="B13" s="34" t="s">
        <v>215</v>
      </c>
      <c r="C13" s="27" t="s">
        <v>48</v>
      </c>
      <c r="D13" s="29" t="s">
        <v>81</v>
      </c>
      <c r="E13" s="20" t="s">
        <v>56</v>
      </c>
      <c r="F13" s="34" t="s">
        <v>249</v>
      </c>
      <c r="G13" s="30" t="s">
        <v>31</v>
      </c>
      <c r="H13" s="27" t="s">
        <v>32</v>
      </c>
      <c r="I13" s="27" t="s">
        <v>33</v>
      </c>
      <c r="J13" s="27" t="s">
        <v>61</v>
      </c>
      <c r="K13" s="31" t="s">
        <v>62</v>
      </c>
      <c r="L13" s="35">
        <v>43264</v>
      </c>
      <c r="M13" s="35">
        <v>43265</v>
      </c>
      <c r="N13" s="31">
        <f>968.71/2</f>
        <v>484.35500000000002</v>
      </c>
      <c r="O13" s="31">
        <f>968.71/2</f>
        <v>484.35500000000002</v>
      </c>
      <c r="P13" s="31">
        <f t="shared" si="0"/>
        <v>968.71</v>
      </c>
      <c r="Q13" s="27">
        <v>5</v>
      </c>
      <c r="R13" s="31">
        <v>120</v>
      </c>
      <c r="S13" s="27">
        <v>0</v>
      </c>
      <c r="T13" s="31">
        <v>0</v>
      </c>
      <c r="U13" s="32">
        <f t="shared" si="1"/>
        <v>600</v>
      </c>
      <c r="V13" s="31">
        <f t="shared" si="2"/>
        <v>1568.71</v>
      </c>
      <c r="W13" s="31">
        <f t="shared" si="3"/>
        <v>1568.71</v>
      </c>
      <c r="X13" s="33"/>
    </row>
    <row r="14" spans="1:24" ht="25.5" x14ac:dyDescent="0.2">
      <c r="A14" s="34" t="s">
        <v>232</v>
      </c>
      <c r="B14" s="34" t="s">
        <v>232</v>
      </c>
      <c r="C14" s="27" t="s">
        <v>80</v>
      </c>
      <c r="D14" s="29" t="s">
        <v>251</v>
      </c>
      <c r="E14" s="20" t="s">
        <v>90</v>
      </c>
      <c r="F14" s="34" t="s">
        <v>248</v>
      </c>
      <c r="G14" s="30" t="s">
        <v>31</v>
      </c>
      <c r="H14" s="27" t="s">
        <v>32</v>
      </c>
      <c r="I14" s="27" t="s">
        <v>33</v>
      </c>
      <c r="J14" s="27" t="s">
        <v>111</v>
      </c>
      <c r="K14" s="31" t="s">
        <v>112</v>
      </c>
      <c r="L14" s="35">
        <v>43258</v>
      </c>
      <c r="M14" s="35">
        <v>43258</v>
      </c>
      <c r="N14" s="31">
        <f>606.46/2</f>
        <v>303.23</v>
      </c>
      <c r="O14" s="31">
        <f>606.46/2</f>
        <v>303.23</v>
      </c>
      <c r="P14" s="31">
        <f t="shared" si="0"/>
        <v>606.46</v>
      </c>
      <c r="Q14" s="27">
        <v>0</v>
      </c>
      <c r="R14" s="31">
        <v>0</v>
      </c>
      <c r="S14" s="27">
        <v>0</v>
      </c>
      <c r="T14" s="31">
        <v>0</v>
      </c>
      <c r="U14" s="32">
        <f t="shared" si="1"/>
        <v>0</v>
      </c>
      <c r="V14" s="31">
        <f t="shared" si="2"/>
        <v>606.46</v>
      </c>
      <c r="W14" s="31">
        <f t="shared" si="3"/>
        <v>606.46</v>
      </c>
      <c r="X14" s="33"/>
    </row>
    <row r="15" spans="1:24" ht="25.5" x14ac:dyDescent="0.2">
      <c r="A15" s="34" t="s">
        <v>232</v>
      </c>
      <c r="B15" s="34" t="s">
        <v>232</v>
      </c>
      <c r="C15" s="27" t="s">
        <v>80</v>
      </c>
      <c r="D15" s="29" t="s">
        <v>251</v>
      </c>
      <c r="E15" s="20" t="s">
        <v>90</v>
      </c>
      <c r="F15" s="34" t="s">
        <v>249</v>
      </c>
      <c r="G15" s="30" t="s">
        <v>31</v>
      </c>
      <c r="H15" s="27" t="s">
        <v>32</v>
      </c>
      <c r="I15" s="27" t="s">
        <v>33</v>
      </c>
      <c r="J15" s="27" t="s">
        <v>61</v>
      </c>
      <c r="K15" s="31" t="s">
        <v>62</v>
      </c>
      <c r="L15" s="35">
        <v>43264</v>
      </c>
      <c r="M15" s="35">
        <v>43265</v>
      </c>
      <c r="N15" s="31">
        <f>1007.71/2</f>
        <v>503.85500000000002</v>
      </c>
      <c r="O15" s="31">
        <f>1007.71/2</f>
        <v>503.85500000000002</v>
      </c>
      <c r="P15" s="31">
        <f t="shared" si="0"/>
        <v>1007.71</v>
      </c>
      <c r="Q15" s="27">
        <v>0</v>
      </c>
      <c r="R15" s="31">
        <v>0</v>
      </c>
      <c r="S15" s="27">
        <v>0</v>
      </c>
      <c r="T15" s="31">
        <v>0</v>
      </c>
      <c r="U15" s="32">
        <f t="shared" si="1"/>
        <v>0</v>
      </c>
      <c r="V15" s="31">
        <f t="shared" si="2"/>
        <v>1007.71</v>
      </c>
      <c r="W15" s="31">
        <f t="shared" si="3"/>
        <v>1007.71</v>
      </c>
      <c r="X15" s="33"/>
    </row>
    <row r="16" spans="1:24" ht="25.5" x14ac:dyDescent="0.2">
      <c r="A16" s="34" t="s">
        <v>250</v>
      </c>
      <c r="B16" s="34" t="s">
        <v>250</v>
      </c>
      <c r="C16" s="27" t="s">
        <v>223</v>
      </c>
      <c r="D16" s="29" t="s">
        <v>251</v>
      </c>
      <c r="E16" s="20" t="s">
        <v>55</v>
      </c>
      <c r="F16" s="34" t="s">
        <v>248</v>
      </c>
      <c r="G16" s="30" t="s">
        <v>31</v>
      </c>
      <c r="H16" s="27" t="s">
        <v>32</v>
      </c>
      <c r="I16" s="27" t="s">
        <v>33</v>
      </c>
      <c r="J16" s="27" t="s">
        <v>111</v>
      </c>
      <c r="K16" s="31" t="s">
        <v>112</v>
      </c>
      <c r="L16" s="35">
        <v>43258</v>
      </c>
      <c r="M16" s="35">
        <v>43258</v>
      </c>
      <c r="N16" s="31">
        <f>606.46/2</f>
        <v>303.23</v>
      </c>
      <c r="O16" s="31">
        <f>606.46/2</f>
        <v>303.23</v>
      </c>
      <c r="P16" s="31">
        <f t="shared" si="0"/>
        <v>606.46</v>
      </c>
      <c r="Q16" s="27">
        <v>0</v>
      </c>
      <c r="R16" s="31">
        <v>0</v>
      </c>
      <c r="S16" s="27">
        <v>0</v>
      </c>
      <c r="T16" s="31">
        <v>0</v>
      </c>
      <c r="U16" s="32">
        <f t="shared" si="1"/>
        <v>0</v>
      </c>
      <c r="V16" s="31">
        <f t="shared" ref="V16:V20" si="4">U16+P16</f>
        <v>606.46</v>
      </c>
      <c r="W16" s="31">
        <f t="shared" si="3"/>
        <v>606.46</v>
      </c>
      <c r="X16" s="33"/>
    </row>
    <row r="17" spans="1:24" ht="25.5" x14ac:dyDescent="0.2">
      <c r="A17" s="34" t="s">
        <v>232</v>
      </c>
      <c r="B17" s="34" t="s">
        <v>239</v>
      </c>
      <c r="C17" s="27" t="s">
        <v>123</v>
      </c>
      <c r="D17" s="29" t="s">
        <v>124</v>
      </c>
      <c r="E17" s="34" t="s">
        <v>132</v>
      </c>
      <c r="F17" s="34" t="s">
        <v>252</v>
      </c>
      <c r="G17" s="30" t="s">
        <v>31</v>
      </c>
      <c r="H17" s="27" t="s">
        <v>32</v>
      </c>
      <c r="I17" s="27" t="s">
        <v>33</v>
      </c>
      <c r="J17" s="27" t="s">
        <v>61</v>
      </c>
      <c r="K17" s="31" t="s">
        <v>62</v>
      </c>
      <c r="L17" s="35">
        <v>43270</v>
      </c>
      <c r="M17" s="35">
        <v>43272</v>
      </c>
      <c r="N17" s="31">
        <v>544.79</v>
      </c>
      <c r="O17" s="31">
        <v>544.79</v>
      </c>
      <c r="P17" s="31">
        <f t="shared" si="0"/>
        <v>1089.58</v>
      </c>
      <c r="Q17" s="27">
        <v>3</v>
      </c>
      <c r="R17" s="31">
        <v>120</v>
      </c>
      <c r="S17" s="27">
        <v>0</v>
      </c>
      <c r="T17" s="31">
        <v>0</v>
      </c>
      <c r="U17" s="32">
        <f t="shared" si="1"/>
        <v>360</v>
      </c>
      <c r="V17" s="31">
        <f t="shared" si="4"/>
        <v>1449.58</v>
      </c>
      <c r="W17" s="31">
        <f t="shared" si="3"/>
        <v>1449.58</v>
      </c>
      <c r="X17" s="33"/>
    </row>
    <row r="18" spans="1:24" ht="38.25" x14ac:dyDescent="0.2">
      <c r="A18" s="34" t="s">
        <v>250</v>
      </c>
      <c r="B18" s="34" t="s">
        <v>234</v>
      </c>
      <c r="C18" s="27" t="s">
        <v>253</v>
      </c>
      <c r="D18" s="29" t="s">
        <v>264</v>
      </c>
      <c r="E18" s="20" t="s">
        <v>260</v>
      </c>
      <c r="F18" s="34" t="s">
        <v>254</v>
      </c>
      <c r="G18" s="30" t="s">
        <v>31</v>
      </c>
      <c r="H18" s="27" t="s">
        <v>32</v>
      </c>
      <c r="I18" s="27" t="s">
        <v>33</v>
      </c>
      <c r="J18" s="27" t="s">
        <v>61</v>
      </c>
      <c r="K18" s="31" t="s">
        <v>62</v>
      </c>
      <c r="L18" s="35">
        <v>43270</v>
      </c>
      <c r="M18" s="35">
        <v>43271</v>
      </c>
      <c r="N18" s="31">
        <f>670.28/2</f>
        <v>335.14</v>
      </c>
      <c r="O18" s="31">
        <f>670.28/2</f>
        <v>335.14</v>
      </c>
      <c r="P18" s="31">
        <f t="shared" si="0"/>
        <v>670.28</v>
      </c>
      <c r="Q18" s="27">
        <v>3</v>
      </c>
      <c r="R18" s="31">
        <v>120</v>
      </c>
      <c r="S18" s="27">
        <v>0</v>
      </c>
      <c r="T18" s="31">
        <v>0</v>
      </c>
      <c r="U18" s="32">
        <f t="shared" si="1"/>
        <v>360</v>
      </c>
      <c r="V18" s="31">
        <f t="shared" si="4"/>
        <v>1030.28</v>
      </c>
      <c r="W18" s="31">
        <f t="shared" si="3"/>
        <v>1030.28</v>
      </c>
      <c r="X18" s="33"/>
    </row>
    <row r="19" spans="1:24" ht="25.5" x14ac:dyDescent="0.2">
      <c r="A19" s="34" t="s">
        <v>250</v>
      </c>
      <c r="B19" s="34" t="s">
        <v>258</v>
      </c>
      <c r="C19" s="27" t="s">
        <v>185</v>
      </c>
      <c r="D19" s="29" t="s">
        <v>190</v>
      </c>
      <c r="E19" s="20" t="s">
        <v>260</v>
      </c>
      <c r="F19" s="34" t="s">
        <v>257</v>
      </c>
      <c r="G19" s="30" t="s">
        <v>31</v>
      </c>
      <c r="H19" s="27" t="s">
        <v>32</v>
      </c>
      <c r="I19" s="27" t="s">
        <v>33</v>
      </c>
      <c r="J19" s="27" t="s">
        <v>32</v>
      </c>
      <c r="K19" s="27" t="s">
        <v>255</v>
      </c>
      <c r="L19" s="35">
        <v>43269</v>
      </c>
      <c r="M19" s="35">
        <v>43269</v>
      </c>
      <c r="N19" s="31">
        <v>0</v>
      </c>
      <c r="O19" s="31">
        <v>0</v>
      </c>
      <c r="P19" s="31">
        <f t="shared" si="0"/>
        <v>0</v>
      </c>
      <c r="Q19" s="27">
        <v>0</v>
      </c>
      <c r="R19" s="31">
        <v>0</v>
      </c>
      <c r="S19" s="27">
        <v>0</v>
      </c>
      <c r="T19" s="31">
        <v>0</v>
      </c>
      <c r="U19" s="32">
        <f t="shared" si="1"/>
        <v>0</v>
      </c>
      <c r="V19" s="31">
        <f t="shared" si="4"/>
        <v>0</v>
      </c>
      <c r="W19" s="31">
        <f t="shared" si="3"/>
        <v>0</v>
      </c>
      <c r="X19" s="33" t="s">
        <v>259</v>
      </c>
    </row>
    <row r="20" spans="1:24" ht="38.25" x14ac:dyDescent="0.2">
      <c r="A20" s="34" t="s">
        <v>250</v>
      </c>
      <c r="B20" s="34" t="s">
        <v>258</v>
      </c>
      <c r="C20" s="27" t="s">
        <v>256</v>
      </c>
      <c r="D20" s="29" t="s">
        <v>265</v>
      </c>
      <c r="E20" s="20" t="s">
        <v>261</v>
      </c>
      <c r="F20" s="34" t="s">
        <v>257</v>
      </c>
      <c r="G20" s="30" t="s">
        <v>31</v>
      </c>
      <c r="H20" s="27" t="s">
        <v>32</v>
      </c>
      <c r="I20" s="27" t="s">
        <v>33</v>
      </c>
      <c r="J20" s="27" t="s">
        <v>32</v>
      </c>
      <c r="K20" s="27" t="s">
        <v>255</v>
      </c>
      <c r="L20" s="35">
        <v>43269</v>
      </c>
      <c r="M20" s="35">
        <v>43269</v>
      </c>
      <c r="N20" s="31">
        <v>0</v>
      </c>
      <c r="O20" s="31">
        <v>0</v>
      </c>
      <c r="P20" s="31">
        <f t="shared" si="0"/>
        <v>0</v>
      </c>
      <c r="Q20" s="27">
        <v>0</v>
      </c>
      <c r="R20" s="31">
        <v>0</v>
      </c>
      <c r="S20" s="27">
        <v>0</v>
      </c>
      <c r="T20" s="31">
        <v>0</v>
      </c>
      <c r="U20" s="32">
        <f t="shared" si="1"/>
        <v>0</v>
      </c>
      <c r="V20" s="31">
        <f t="shared" si="4"/>
        <v>0</v>
      </c>
      <c r="W20" s="31">
        <f t="shared" si="3"/>
        <v>0</v>
      </c>
      <c r="X20" s="33" t="s">
        <v>259</v>
      </c>
    </row>
  </sheetData>
  <mergeCells count="27">
    <mergeCell ref="V8:V9"/>
    <mergeCell ref="N8:N9"/>
    <mergeCell ref="P8:P9"/>
    <mergeCell ref="Q8:R8"/>
    <mergeCell ref="S8:T8"/>
    <mergeCell ref="U8:U9"/>
    <mergeCell ref="G8:G9"/>
    <mergeCell ref="H8:I8"/>
    <mergeCell ref="J8:K8"/>
    <mergeCell ref="L8:L9"/>
    <mergeCell ref="M8:M9"/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</mergeCells>
  <pageMargins left="0" right="0" top="0.39370078740157505" bottom="0.39370078740157505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opLeftCell="A7" workbookViewId="0">
      <selection activeCell="A24" sqref="A24:B24"/>
    </sheetView>
  </sheetViews>
  <sheetFormatPr defaultRowHeight="15" customHeight="1" x14ac:dyDescent="0.2"/>
  <cols>
    <col min="1" max="1" width="19.125" customWidth="1"/>
    <col min="2" max="2" width="28.875" bestFit="1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13.875" bestFit="1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23" width="18" customWidth="1"/>
    <col min="24" max="24" width="42.5" bestFit="1" customWidth="1"/>
    <col min="25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1" t="s">
        <v>0</v>
      </c>
      <c r="W5" s="51"/>
      <c r="X5" s="8">
        <v>43282</v>
      </c>
    </row>
    <row r="6" spans="1:24" x14ac:dyDescent="0.2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x14ac:dyDescent="0.25">
      <c r="A7" s="52" t="s">
        <v>5</v>
      </c>
      <c r="B7" s="52"/>
      <c r="C7" s="52" t="s">
        <v>6</v>
      </c>
      <c r="D7" s="52"/>
      <c r="E7" s="52"/>
      <c r="F7" s="52" t="s">
        <v>3</v>
      </c>
      <c r="G7" s="52"/>
      <c r="H7" s="52"/>
      <c r="I7" s="52"/>
      <c r="J7" s="52"/>
      <c r="K7" s="52"/>
      <c r="L7" s="52"/>
      <c r="M7" s="52"/>
      <c r="N7" s="52" t="s">
        <v>7</v>
      </c>
      <c r="O7" s="52"/>
      <c r="P7" s="52"/>
      <c r="Q7" s="52" t="s">
        <v>1</v>
      </c>
      <c r="R7" s="52"/>
      <c r="S7" s="52"/>
      <c r="T7" s="52"/>
      <c r="U7" s="52"/>
      <c r="V7" s="52"/>
      <c r="W7" s="52" t="s">
        <v>8</v>
      </c>
      <c r="X7" s="52" t="s">
        <v>9</v>
      </c>
    </row>
    <row r="8" spans="1:24" s="9" customFormat="1" x14ac:dyDescent="0.25">
      <c r="A8" s="53" t="s">
        <v>10</v>
      </c>
      <c r="B8" s="53" t="s">
        <v>11</v>
      </c>
      <c r="C8" s="53" t="s">
        <v>12</v>
      </c>
      <c r="D8" s="53" t="s">
        <v>13</v>
      </c>
      <c r="E8" s="53" t="s">
        <v>14</v>
      </c>
      <c r="F8" s="53" t="s">
        <v>15</v>
      </c>
      <c r="G8" s="53" t="s">
        <v>16</v>
      </c>
      <c r="H8" s="53" t="s">
        <v>17</v>
      </c>
      <c r="I8" s="53"/>
      <c r="J8" s="54" t="s">
        <v>18</v>
      </c>
      <c r="K8" s="54"/>
      <c r="L8" s="53" t="s">
        <v>19</v>
      </c>
      <c r="M8" s="53" t="s">
        <v>20</v>
      </c>
      <c r="N8" s="54" t="s">
        <v>21</v>
      </c>
      <c r="O8" s="54" t="s">
        <v>22</v>
      </c>
      <c r="P8" s="54" t="s">
        <v>23</v>
      </c>
      <c r="Q8" s="54" t="s">
        <v>24</v>
      </c>
      <c r="R8" s="54"/>
      <c r="S8" s="54" t="s">
        <v>25</v>
      </c>
      <c r="T8" s="54"/>
      <c r="U8" s="53" t="s">
        <v>26</v>
      </c>
      <c r="V8" s="54" t="s">
        <v>23</v>
      </c>
      <c r="W8" s="52"/>
      <c r="X8" s="52"/>
    </row>
    <row r="9" spans="1:24" s="9" customFormat="1" ht="17.25" customHeight="1" x14ac:dyDescent="0.25">
      <c r="A9" s="53"/>
      <c r="B9" s="53"/>
      <c r="C9" s="53"/>
      <c r="D9" s="53"/>
      <c r="E9" s="53"/>
      <c r="F9" s="53"/>
      <c r="G9" s="53"/>
      <c r="H9" s="10" t="s">
        <v>27</v>
      </c>
      <c r="I9" s="10" t="s">
        <v>28</v>
      </c>
      <c r="J9" s="10" t="s">
        <v>27</v>
      </c>
      <c r="K9" s="11" t="s">
        <v>29</v>
      </c>
      <c r="L9" s="53"/>
      <c r="M9" s="53"/>
      <c r="N9" s="54"/>
      <c r="O9" s="54"/>
      <c r="P9" s="54"/>
      <c r="Q9" s="10" t="s">
        <v>2</v>
      </c>
      <c r="R9" s="11" t="s">
        <v>30</v>
      </c>
      <c r="S9" s="10" t="s">
        <v>2</v>
      </c>
      <c r="T9" s="11" t="s">
        <v>30</v>
      </c>
      <c r="U9" s="53"/>
      <c r="V9" s="54"/>
      <c r="W9" s="52"/>
      <c r="X9" s="52"/>
    </row>
    <row r="10" spans="1:24" ht="47.25" customHeight="1" x14ac:dyDescent="0.2">
      <c r="A10" s="34" t="s">
        <v>232</v>
      </c>
      <c r="B10" s="34" t="s">
        <v>267</v>
      </c>
      <c r="C10" s="34" t="s">
        <v>266</v>
      </c>
      <c r="D10" s="29" t="s">
        <v>153</v>
      </c>
      <c r="E10" s="20" t="s">
        <v>154</v>
      </c>
      <c r="F10" s="34" t="s">
        <v>268</v>
      </c>
      <c r="G10" s="30" t="s">
        <v>31</v>
      </c>
      <c r="H10" s="27" t="s">
        <v>32</v>
      </c>
      <c r="I10" s="27" t="s">
        <v>33</v>
      </c>
      <c r="J10" s="27" t="s">
        <v>111</v>
      </c>
      <c r="K10" s="31" t="s">
        <v>112</v>
      </c>
      <c r="L10" s="35">
        <v>43304</v>
      </c>
      <c r="M10" s="35">
        <v>43306</v>
      </c>
      <c r="N10" s="31">
        <f>450.41/2</f>
        <v>225.20500000000001</v>
      </c>
      <c r="O10" s="31">
        <f>450.41/2</f>
        <v>225.20500000000001</v>
      </c>
      <c r="P10" s="31">
        <f>SUM(N10:O10)</f>
        <v>450.41</v>
      </c>
      <c r="Q10" s="27">
        <v>3</v>
      </c>
      <c r="R10" s="31">
        <v>120</v>
      </c>
      <c r="S10" s="27">
        <v>0</v>
      </c>
      <c r="T10" s="31">
        <v>0</v>
      </c>
      <c r="U10" s="32">
        <f>(Q10*R10)+(S10*T10)</f>
        <v>360</v>
      </c>
      <c r="V10" s="31">
        <f>U10+P10</f>
        <v>810.41000000000008</v>
      </c>
      <c r="W10" s="31">
        <f>V10</f>
        <v>810.41000000000008</v>
      </c>
      <c r="X10" s="37"/>
    </row>
    <row r="11" spans="1:24" ht="38.25" x14ac:dyDescent="0.2">
      <c r="A11" s="34" t="s">
        <v>232</v>
      </c>
      <c r="B11" s="34" t="s">
        <v>267</v>
      </c>
      <c r="C11" s="27" t="s">
        <v>147</v>
      </c>
      <c r="D11" s="29" t="s">
        <v>159</v>
      </c>
      <c r="E11" s="34" t="s">
        <v>269</v>
      </c>
      <c r="F11" s="34" t="s">
        <v>268</v>
      </c>
      <c r="G11" s="30" t="s">
        <v>31</v>
      </c>
      <c r="H11" s="27" t="s">
        <v>32</v>
      </c>
      <c r="I11" s="27" t="s">
        <v>33</v>
      </c>
      <c r="J11" s="27" t="s">
        <v>111</v>
      </c>
      <c r="K11" s="31" t="s">
        <v>112</v>
      </c>
      <c r="L11" s="35">
        <v>43304</v>
      </c>
      <c r="M11" s="35">
        <v>43306</v>
      </c>
      <c r="N11" s="31">
        <f>450.41/2</f>
        <v>225.20500000000001</v>
      </c>
      <c r="O11" s="31">
        <f>450.41/2</f>
        <v>225.20500000000001</v>
      </c>
      <c r="P11" s="31">
        <f t="shared" ref="P11:P24" si="0">SUM(N11:O11)</f>
        <v>450.41</v>
      </c>
      <c r="Q11" s="27">
        <v>9</v>
      </c>
      <c r="R11" s="31">
        <v>120</v>
      </c>
      <c r="S11" s="27">
        <v>0</v>
      </c>
      <c r="T11" s="31">
        <v>0</v>
      </c>
      <c r="U11" s="32">
        <f t="shared" ref="U11:U24" si="1">(Q11*R11)+(S11*T11)</f>
        <v>1080</v>
      </c>
      <c r="V11" s="31">
        <f t="shared" ref="V11:V20" si="2">U11+P11</f>
        <v>1530.41</v>
      </c>
      <c r="W11" s="31">
        <f t="shared" ref="W11:W24" si="3">V11</f>
        <v>1530.41</v>
      </c>
      <c r="X11" s="33"/>
    </row>
    <row r="12" spans="1:24" ht="25.5" x14ac:dyDescent="0.2">
      <c r="A12" s="34" t="s">
        <v>250</v>
      </c>
      <c r="B12" s="34" t="s">
        <v>212</v>
      </c>
      <c r="C12" s="27" t="s">
        <v>270</v>
      </c>
      <c r="D12" s="29" t="s">
        <v>173</v>
      </c>
      <c r="E12" s="20" t="s">
        <v>271</v>
      </c>
      <c r="F12" s="34" t="s">
        <v>268</v>
      </c>
      <c r="G12" s="30" t="s">
        <v>31</v>
      </c>
      <c r="H12" s="27" t="s">
        <v>32</v>
      </c>
      <c r="I12" s="27" t="s">
        <v>33</v>
      </c>
      <c r="J12" s="27" t="s">
        <v>111</v>
      </c>
      <c r="K12" s="31" t="s">
        <v>112</v>
      </c>
      <c r="L12" s="35">
        <v>43304</v>
      </c>
      <c r="M12" s="35">
        <v>43306</v>
      </c>
      <c r="N12" s="31">
        <f>579.25/2</f>
        <v>289.625</v>
      </c>
      <c r="O12" s="31">
        <f>579.25/2</f>
        <v>289.625</v>
      </c>
      <c r="P12" s="31">
        <f t="shared" si="0"/>
        <v>579.25</v>
      </c>
      <c r="Q12" s="27">
        <v>3</v>
      </c>
      <c r="R12" s="31">
        <v>120</v>
      </c>
      <c r="S12" s="27">
        <v>0</v>
      </c>
      <c r="T12" s="31">
        <v>0</v>
      </c>
      <c r="U12" s="32">
        <f t="shared" si="1"/>
        <v>360</v>
      </c>
      <c r="V12" s="31">
        <f t="shared" si="2"/>
        <v>939.25</v>
      </c>
      <c r="W12" s="31">
        <f t="shared" si="3"/>
        <v>939.25</v>
      </c>
      <c r="X12" s="33"/>
    </row>
    <row r="13" spans="1:24" ht="38.25" x14ac:dyDescent="0.2">
      <c r="A13" s="34" t="s">
        <v>279</v>
      </c>
      <c r="B13" s="34" t="s">
        <v>272</v>
      </c>
      <c r="C13" s="27" t="s">
        <v>191</v>
      </c>
      <c r="D13" s="29" t="s">
        <v>196</v>
      </c>
      <c r="E13" s="20" t="s">
        <v>209</v>
      </c>
      <c r="F13" s="34" t="s">
        <v>273</v>
      </c>
      <c r="G13" s="30" t="s">
        <v>31</v>
      </c>
      <c r="H13" s="27" t="s">
        <v>32</v>
      </c>
      <c r="I13" s="27" t="s">
        <v>33</v>
      </c>
      <c r="J13" s="27" t="s">
        <v>106</v>
      </c>
      <c r="K13" s="31" t="s">
        <v>107</v>
      </c>
      <c r="L13" s="35">
        <v>43284</v>
      </c>
      <c r="M13" s="35">
        <v>43286</v>
      </c>
      <c r="N13" s="31">
        <f>1322.07/2</f>
        <v>661.03499999999997</v>
      </c>
      <c r="O13" s="31">
        <f>1322.07/2</f>
        <v>661.03499999999997</v>
      </c>
      <c r="P13" s="31">
        <f t="shared" si="0"/>
        <v>1322.07</v>
      </c>
      <c r="Q13" s="27">
        <v>3</v>
      </c>
      <c r="R13" s="31">
        <v>120</v>
      </c>
      <c r="S13" s="27">
        <v>2</v>
      </c>
      <c r="T13" s="31">
        <v>100</v>
      </c>
      <c r="U13" s="32">
        <f t="shared" si="1"/>
        <v>560</v>
      </c>
      <c r="V13" s="31">
        <f t="shared" si="2"/>
        <v>1882.07</v>
      </c>
      <c r="W13" s="31">
        <f t="shared" si="3"/>
        <v>1882.07</v>
      </c>
      <c r="X13" s="33"/>
    </row>
    <row r="14" spans="1:24" ht="38.25" x14ac:dyDescent="0.2">
      <c r="A14" s="34" t="s">
        <v>279</v>
      </c>
      <c r="B14" s="34" t="s">
        <v>225</v>
      </c>
      <c r="C14" s="27" t="s">
        <v>42</v>
      </c>
      <c r="D14" s="29" t="s">
        <v>68</v>
      </c>
      <c r="E14" s="20" t="s">
        <v>54</v>
      </c>
      <c r="F14" s="34" t="s">
        <v>274</v>
      </c>
      <c r="G14" s="30" t="s">
        <v>31</v>
      </c>
      <c r="H14" s="27" t="s">
        <v>32</v>
      </c>
      <c r="I14" s="27" t="s">
        <v>33</v>
      </c>
      <c r="J14" s="27" t="s">
        <v>38</v>
      </c>
      <c r="K14" s="31" t="s">
        <v>39</v>
      </c>
      <c r="L14" s="35">
        <v>43298</v>
      </c>
      <c r="M14" s="35">
        <v>43300</v>
      </c>
      <c r="N14" s="31">
        <f>991.37/2</f>
        <v>495.685</v>
      </c>
      <c r="O14" s="31">
        <f>991.37/2</f>
        <v>495.685</v>
      </c>
      <c r="P14" s="31">
        <f t="shared" si="0"/>
        <v>991.37</v>
      </c>
      <c r="Q14" s="27">
        <v>6</v>
      </c>
      <c r="R14" s="31">
        <v>120</v>
      </c>
      <c r="S14" s="27">
        <v>0</v>
      </c>
      <c r="T14" s="31">
        <v>0</v>
      </c>
      <c r="U14" s="32">
        <f t="shared" si="1"/>
        <v>720</v>
      </c>
      <c r="V14" s="31">
        <f t="shared" si="2"/>
        <v>1711.37</v>
      </c>
      <c r="W14" s="31">
        <f t="shared" si="3"/>
        <v>1711.37</v>
      </c>
      <c r="X14" s="33"/>
    </row>
    <row r="15" spans="1:24" ht="38.25" x14ac:dyDescent="0.2">
      <c r="A15" s="34" t="s">
        <v>232</v>
      </c>
      <c r="B15" s="34" t="s">
        <v>267</v>
      </c>
      <c r="C15" s="27" t="s">
        <v>266</v>
      </c>
      <c r="D15" s="29" t="s">
        <v>153</v>
      </c>
      <c r="E15" s="20" t="s">
        <v>154</v>
      </c>
      <c r="F15" s="34" t="s">
        <v>275</v>
      </c>
      <c r="G15" s="30" t="s">
        <v>31</v>
      </c>
      <c r="H15" s="27" t="s">
        <v>32</v>
      </c>
      <c r="I15" s="27" t="s">
        <v>33</v>
      </c>
      <c r="J15" s="27" t="s">
        <v>61</v>
      </c>
      <c r="K15" s="31" t="s">
        <v>62</v>
      </c>
      <c r="L15" s="35">
        <v>43298</v>
      </c>
      <c r="M15" s="35">
        <v>43301</v>
      </c>
      <c r="N15" s="31">
        <f>907.15/2</f>
        <v>453.57499999999999</v>
      </c>
      <c r="O15" s="31">
        <f>907.15/2</f>
        <v>453.57499999999999</v>
      </c>
      <c r="P15" s="31">
        <f t="shared" si="0"/>
        <v>907.15</v>
      </c>
      <c r="Q15" s="27">
        <v>4</v>
      </c>
      <c r="R15" s="31">
        <v>120</v>
      </c>
      <c r="S15" s="27">
        <v>0</v>
      </c>
      <c r="T15" s="31">
        <v>0</v>
      </c>
      <c r="U15" s="32">
        <f t="shared" si="1"/>
        <v>480</v>
      </c>
      <c r="V15" s="31">
        <f t="shared" si="2"/>
        <v>1387.15</v>
      </c>
      <c r="W15" s="31">
        <f t="shared" si="3"/>
        <v>1387.15</v>
      </c>
      <c r="X15" s="33"/>
    </row>
    <row r="16" spans="1:24" ht="38.25" x14ac:dyDescent="0.2">
      <c r="A16" s="34" t="s">
        <v>232</v>
      </c>
      <c r="B16" s="34" t="s">
        <v>215</v>
      </c>
      <c r="C16" s="27" t="s">
        <v>276</v>
      </c>
      <c r="D16" s="29" t="s">
        <v>277</v>
      </c>
      <c r="E16" s="20" t="s">
        <v>154</v>
      </c>
      <c r="F16" s="34" t="s">
        <v>275</v>
      </c>
      <c r="G16" s="30" t="s">
        <v>31</v>
      </c>
      <c r="H16" s="27" t="s">
        <v>32</v>
      </c>
      <c r="I16" s="27" t="s">
        <v>33</v>
      </c>
      <c r="J16" s="27" t="s">
        <v>61</v>
      </c>
      <c r="K16" s="31" t="s">
        <v>62</v>
      </c>
      <c r="L16" s="35">
        <v>43298</v>
      </c>
      <c r="M16" s="35">
        <v>43301</v>
      </c>
      <c r="N16" s="31">
        <v>544.22</v>
      </c>
      <c r="O16" s="31">
        <v>383.17</v>
      </c>
      <c r="P16" s="31">
        <f t="shared" si="0"/>
        <v>927.3900000000001</v>
      </c>
      <c r="Q16" s="27">
        <v>8</v>
      </c>
      <c r="R16" s="31">
        <v>120</v>
      </c>
      <c r="S16" s="27">
        <v>0</v>
      </c>
      <c r="T16" s="31">
        <v>0</v>
      </c>
      <c r="U16" s="32">
        <f t="shared" si="1"/>
        <v>960</v>
      </c>
      <c r="V16" s="31">
        <f t="shared" si="2"/>
        <v>1887.39</v>
      </c>
      <c r="W16" s="31">
        <f t="shared" si="3"/>
        <v>1887.39</v>
      </c>
      <c r="X16" s="33"/>
    </row>
    <row r="17" spans="1:24" ht="25.5" x14ac:dyDescent="0.2">
      <c r="A17" s="34" t="s">
        <v>232</v>
      </c>
      <c r="B17" s="34" t="s">
        <v>215</v>
      </c>
      <c r="C17" s="27" t="s">
        <v>48</v>
      </c>
      <c r="D17" s="29" t="s">
        <v>81</v>
      </c>
      <c r="E17" s="20" t="s">
        <v>56</v>
      </c>
      <c r="F17" s="34" t="s">
        <v>268</v>
      </c>
      <c r="G17" s="30" t="s">
        <v>31</v>
      </c>
      <c r="H17" s="27" t="s">
        <v>32</v>
      </c>
      <c r="I17" s="27" t="s">
        <v>33</v>
      </c>
      <c r="J17" s="27" t="s">
        <v>111</v>
      </c>
      <c r="K17" s="31" t="s">
        <v>112</v>
      </c>
      <c r="L17" s="35">
        <v>43304</v>
      </c>
      <c r="M17" s="35">
        <v>43306</v>
      </c>
      <c r="N17" s="31">
        <v>24</v>
      </c>
      <c r="O17" s="31">
        <v>1</v>
      </c>
      <c r="P17" s="31">
        <f t="shared" si="0"/>
        <v>25</v>
      </c>
      <c r="Q17" s="27">
        <v>6</v>
      </c>
      <c r="R17" s="31">
        <v>120</v>
      </c>
      <c r="S17" s="27">
        <v>0</v>
      </c>
      <c r="T17" s="31">
        <v>0</v>
      </c>
      <c r="U17" s="32">
        <f t="shared" si="1"/>
        <v>720</v>
      </c>
      <c r="V17" s="31">
        <f t="shared" si="2"/>
        <v>745</v>
      </c>
      <c r="W17" s="31">
        <f t="shared" si="3"/>
        <v>745</v>
      </c>
      <c r="X17" s="33"/>
    </row>
    <row r="18" spans="1:24" ht="25.5" x14ac:dyDescent="0.2">
      <c r="A18" s="34" t="s">
        <v>232</v>
      </c>
      <c r="B18" s="34" t="s">
        <v>232</v>
      </c>
      <c r="C18" s="27" t="s">
        <v>80</v>
      </c>
      <c r="D18" s="29" t="s">
        <v>104</v>
      </c>
      <c r="E18" s="20" t="s">
        <v>90</v>
      </c>
      <c r="F18" s="34" t="s">
        <v>278</v>
      </c>
      <c r="G18" s="30" t="s">
        <v>31</v>
      </c>
      <c r="H18" s="27" t="s">
        <v>32</v>
      </c>
      <c r="I18" s="27" t="s">
        <v>33</v>
      </c>
      <c r="J18" s="27" t="s">
        <v>38</v>
      </c>
      <c r="K18" s="31" t="s">
        <v>39</v>
      </c>
      <c r="L18" s="35">
        <v>43293</v>
      </c>
      <c r="M18" s="35">
        <v>43294</v>
      </c>
      <c r="N18" s="31">
        <v>377.67</v>
      </c>
      <c r="O18" s="31">
        <v>799.86</v>
      </c>
      <c r="P18" s="31">
        <f t="shared" si="0"/>
        <v>1177.53</v>
      </c>
      <c r="Q18" s="27">
        <v>0</v>
      </c>
      <c r="R18" s="31">
        <v>0</v>
      </c>
      <c r="S18" s="27">
        <v>0</v>
      </c>
      <c r="T18" s="31">
        <v>0</v>
      </c>
      <c r="U18" s="32">
        <f t="shared" si="1"/>
        <v>0</v>
      </c>
      <c r="V18" s="31">
        <f t="shared" si="2"/>
        <v>1177.53</v>
      </c>
      <c r="W18" s="31">
        <f t="shared" si="3"/>
        <v>1177.53</v>
      </c>
      <c r="X18" s="33"/>
    </row>
    <row r="19" spans="1:24" ht="25.5" x14ac:dyDescent="0.2">
      <c r="A19" s="34" t="s">
        <v>232</v>
      </c>
      <c r="B19" s="34" t="s">
        <v>215</v>
      </c>
      <c r="C19" s="27" t="s">
        <v>48</v>
      </c>
      <c r="D19" s="29" t="s">
        <v>81</v>
      </c>
      <c r="E19" s="20" t="s">
        <v>56</v>
      </c>
      <c r="F19" s="34" t="s">
        <v>278</v>
      </c>
      <c r="G19" s="30" t="s">
        <v>31</v>
      </c>
      <c r="H19" s="27" t="s">
        <v>32</v>
      </c>
      <c r="I19" s="27" t="s">
        <v>33</v>
      </c>
      <c r="J19" s="27" t="s">
        <v>38</v>
      </c>
      <c r="K19" s="31" t="s">
        <v>39</v>
      </c>
      <c r="L19" s="35">
        <v>43293</v>
      </c>
      <c r="M19" s="35">
        <v>43294</v>
      </c>
      <c r="N19" s="31">
        <v>358.17</v>
      </c>
      <c r="O19" s="31">
        <v>799.86</v>
      </c>
      <c r="P19" s="31">
        <f t="shared" si="0"/>
        <v>1158.03</v>
      </c>
      <c r="Q19" s="27">
        <v>4</v>
      </c>
      <c r="R19" s="31">
        <v>120</v>
      </c>
      <c r="S19" s="27">
        <v>0</v>
      </c>
      <c r="T19" s="31">
        <v>0</v>
      </c>
      <c r="U19" s="32">
        <f t="shared" si="1"/>
        <v>480</v>
      </c>
      <c r="V19" s="31">
        <f t="shared" si="2"/>
        <v>1638.03</v>
      </c>
      <c r="W19" s="31">
        <f t="shared" si="3"/>
        <v>1638.03</v>
      </c>
      <c r="X19" s="33"/>
    </row>
    <row r="20" spans="1:24" ht="38.25" x14ac:dyDescent="0.2">
      <c r="A20" s="34" t="s">
        <v>279</v>
      </c>
      <c r="B20" s="34" t="s">
        <v>279</v>
      </c>
      <c r="C20" s="27" t="s">
        <v>75</v>
      </c>
      <c r="D20" s="29" t="s">
        <v>104</v>
      </c>
      <c r="E20" s="20" t="s">
        <v>88</v>
      </c>
      <c r="F20" s="34" t="s">
        <v>278</v>
      </c>
      <c r="G20" s="30" t="s">
        <v>31</v>
      </c>
      <c r="H20" s="27" t="s">
        <v>32</v>
      </c>
      <c r="I20" s="27" t="s">
        <v>33</v>
      </c>
      <c r="J20" s="27" t="s">
        <v>38</v>
      </c>
      <c r="K20" s="31" t="s">
        <v>39</v>
      </c>
      <c r="L20" s="35">
        <v>43293</v>
      </c>
      <c r="M20" s="35">
        <v>43294</v>
      </c>
      <c r="N20" s="39">
        <f>1858.02/2</f>
        <v>929.01</v>
      </c>
      <c r="O20" s="39">
        <f>1858.02/2</f>
        <v>929.01</v>
      </c>
      <c r="P20" s="31">
        <f t="shared" si="0"/>
        <v>1858.02</v>
      </c>
      <c r="Q20" s="27">
        <v>0</v>
      </c>
      <c r="R20" s="31">
        <v>0</v>
      </c>
      <c r="S20" s="40">
        <v>0</v>
      </c>
      <c r="T20" s="39">
        <v>0</v>
      </c>
      <c r="U20" s="41">
        <f t="shared" si="1"/>
        <v>0</v>
      </c>
      <c r="V20" s="39">
        <f t="shared" si="2"/>
        <v>1858.02</v>
      </c>
      <c r="W20" s="39">
        <f t="shared" si="3"/>
        <v>1858.02</v>
      </c>
      <c r="X20" s="42"/>
    </row>
    <row r="21" spans="1:24" ht="25.5" x14ac:dyDescent="0.2">
      <c r="A21" s="34" t="s">
        <v>250</v>
      </c>
      <c r="B21" s="34" t="s">
        <v>250</v>
      </c>
      <c r="C21" s="27" t="s">
        <v>223</v>
      </c>
      <c r="D21" s="29" t="s">
        <v>251</v>
      </c>
      <c r="E21" s="20" t="s">
        <v>55</v>
      </c>
      <c r="F21" s="34" t="s">
        <v>278</v>
      </c>
      <c r="G21" s="30" t="s">
        <v>31</v>
      </c>
      <c r="H21" s="27" t="s">
        <v>32</v>
      </c>
      <c r="I21" s="27" t="s">
        <v>33</v>
      </c>
      <c r="J21" s="27" t="s">
        <v>38</v>
      </c>
      <c r="K21" s="31" t="s">
        <v>39</v>
      </c>
      <c r="L21" s="35">
        <v>43293</v>
      </c>
      <c r="M21" s="38">
        <v>43294</v>
      </c>
      <c r="N21" s="45">
        <f>1271.33/2</f>
        <v>635.66499999999996</v>
      </c>
      <c r="O21" s="45">
        <f>1271.33/2</f>
        <v>635.66499999999996</v>
      </c>
      <c r="P21" s="48">
        <f t="shared" si="0"/>
        <v>1271.33</v>
      </c>
      <c r="Q21" s="27">
        <v>0</v>
      </c>
      <c r="R21" s="39">
        <v>0</v>
      </c>
      <c r="S21" s="40">
        <v>0</v>
      </c>
      <c r="T21" s="39">
        <v>0</v>
      </c>
      <c r="U21" s="41">
        <f t="shared" si="1"/>
        <v>0</v>
      </c>
      <c r="V21" s="39">
        <f>U21+P21</f>
        <v>1271.33</v>
      </c>
      <c r="W21" s="39">
        <f t="shared" si="3"/>
        <v>1271.33</v>
      </c>
      <c r="X21" s="44"/>
    </row>
    <row r="22" spans="1:24" ht="38.25" customHeight="1" x14ac:dyDescent="0.2">
      <c r="A22" s="67" t="s">
        <v>279</v>
      </c>
      <c r="B22" s="67" t="s">
        <v>279</v>
      </c>
      <c r="C22" s="69" t="s">
        <v>75</v>
      </c>
      <c r="D22" s="63" t="s">
        <v>104</v>
      </c>
      <c r="E22" s="65" t="s">
        <v>88</v>
      </c>
      <c r="F22" s="67" t="s">
        <v>281</v>
      </c>
      <c r="G22" s="30" t="s">
        <v>31</v>
      </c>
      <c r="H22" s="27" t="s">
        <v>38</v>
      </c>
      <c r="I22" s="27" t="s">
        <v>39</v>
      </c>
      <c r="J22" s="27" t="s">
        <v>280</v>
      </c>
      <c r="K22" s="31" t="s">
        <v>107</v>
      </c>
      <c r="L22" s="35">
        <v>43307</v>
      </c>
      <c r="M22" s="38"/>
      <c r="N22" s="45">
        <f>1406.06/2</f>
        <v>703.03</v>
      </c>
      <c r="O22" s="45"/>
      <c r="P22" s="48">
        <f t="shared" si="0"/>
        <v>703.03</v>
      </c>
      <c r="Q22" s="59">
        <v>0</v>
      </c>
      <c r="R22" s="55">
        <v>0</v>
      </c>
      <c r="S22" s="61">
        <v>0</v>
      </c>
      <c r="T22" s="55">
        <v>0</v>
      </c>
      <c r="U22" s="62">
        <f t="shared" si="1"/>
        <v>0</v>
      </c>
      <c r="V22" s="55">
        <f>P22+P23</f>
        <v>1406.06</v>
      </c>
      <c r="W22" s="56">
        <f t="shared" si="3"/>
        <v>1406.06</v>
      </c>
      <c r="X22" s="58"/>
    </row>
    <row r="23" spans="1:24" ht="38.25" customHeight="1" x14ac:dyDescent="0.2">
      <c r="A23" s="68"/>
      <c r="B23" s="68"/>
      <c r="C23" s="70"/>
      <c r="D23" s="64"/>
      <c r="E23" s="66"/>
      <c r="F23" s="68"/>
      <c r="G23" s="30" t="s">
        <v>31</v>
      </c>
      <c r="H23" s="27" t="s">
        <v>280</v>
      </c>
      <c r="I23" s="27" t="s">
        <v>107</v>
      </c>
      <c r="J23" s="27" t="s">
        <v>32</v>
      </c>
      <c r="K23" s="31" t="s">
        <v>33</v>
      </c>
      <c r="L23" s="35"/>
      <c r="M23" s="35">
        <v>43308</v>
      </c>
      <c r="N23" s="43"/>
      <c r="O23" s="43">
        <f>1406.06/2</f>
        <v>703.03</v>
      </c>
      <c r="P23" s="31">
        <f t="shared" si="0"/>
        <v>703.03</v>
      </c>
      <c r="Q23" s="60"/>
      <c r="R23" s="55"/>
      <c r="S23" s="61"/>
      <c r="T23" s="55"/>
      <c r="U23" s="62"/>
      <c r="V23" s="55"/>
      <c r="W23" s="57"/>
      <c r="X23" s="58"/>
    </row>
    <row r="24" spans="1:24" ht="43.5" customHeight="1" x14ac:dyDescent="0.2">
      <c r="A24" s="34" t="s">
        <v>250</v>
      </c>
      <c r="B24" s="34" t="s">
        <v>250</v>
      </c>
      <c r="C24" s="27" t="s">
        <v>223</v>
      </c>
      <c r="D24" s="29" t="s">
        <v>251</v>
      </c>
      <c r="E24" s="20" t="s">
        <v>55</v>
      </c>
      <c r="F24" s="34" t="s">
        <v>281</v>
      </c>
      <c r="G24" s="30" t="s">
        <v>31</v>
      </c>
      <c r="H24" s="27" t="s">
        <v>32</v>
      </c>
      <c r="I24" s="27" t="s">
        <v>33</v>
      </c>
      <c r="J24" s="27" t="s">
        <v>280</v>
      </c>
      <c r="K24" s="31" t="s">
        <v>107</v>
      </c>
      <c r="L24" s="35">
        <v>43308</v>
      </c>
      <c r="M24" s="38">
        <v>43308</v>
      </c>
      <c r="N24" s="45">
        <f>1271.33/2</f>
        <v>635.66499999999996</v>
      </c>
      <c r="O24" s="45">
        <f>1271.33/2</f>
        <v>635.66499999999996</v>
      </c>
      <c r="P24" s="31">
        <f t="shared" si="0"/>
        <v>1271.33</v>
      </c>
      <c r="Q24" s="49">
        <v>0</v>
      </c>
      <c r="R24" s="45">
        <v>0</v>
      </c>
      <c r="S24" s="47">
        <v>0</v>
      </c>
      <c r="T24" s="45">
        <v>0</v>
      </c>
      <c r="U24" s="46">
        <f t="shared" si="1"/>
        <v>0</v>
      </c>
      <c r="V24" s="45">
        <f>P24+U24</f>
        <v>1271.33</v>
      </c>
      <c r="W24" s="45">
        <f t="shared" si="3"/>
        <v>1271.33</v>
      </c>
      <c r="X24" s="44"/>
    </row>
  </sheetData>
  <mergeCells count="41">
    <mergeCell ref="V8:V9"/>
    <mergeCell ref="N8:N9"/>
    <mergeCell ref="P8:P9"/>
    <mergeCell ref="Q8:R8"/>
    <mergeCell ref="S8:T8"/>
    <mergeCell ref="U8:U9"/>
    <mergeCell ref="G8:G9"/>
    <mergeCell ref="H8:I8"/>
    <mergeCell ref="J8:K8"/>
    <mergeCell ref="L8:L9"/>
    <mergeCell ref="M8:M9"/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  <mergeCell ref="D22:D23"/>
    <mergeCell ref="E22:E23"/>
    <mergeCell ref="F22:F23"/>
    <mergeCell ref="A22:A23"/>
    <mergeCell ref="B22:B23"/>
    <mergeCell ref="C22:C23"/>
    <mergeCell ref="V22:V23"/>
    <mergeCell ref="W22:W23"/>
    <mergeCell ref="X22:X23"/>
    <mergeCell ref="Q22:Q23"/>
    <mergeCell ref="R22:R23"/>
    <mergeCell ref="S22:S23"/>
    <mergeCell ref="T22:T23"/>
    <mergeCell ref="U22:U23"/>
  </mergeCells>
  <pageMargins left="0" right="0" top="0.39370078740157505" bottom="0.39370078740157505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4" workbookViewId="0">
      <selection activeCell="E15" sqref="E15"/>
    </sheetView>
  </sheetViews>
  <sheetFormatPr defaultRowHeight="15" customHeight="1" x14ac:dyDescent="0.2"/>
  <cols>
    <col min="1" max="1" width="19.125" customWidth="1"/>
    <col min="2" max="2" width="28.875" bestFit="1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13.875" bestFit="1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23" width="18" customWidth="1"/>
    <col min="24" max="24" width="42.5" bestFit="1" customWidth="1"/>
    <col min="25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1" t="s">
        <v>0</v>
      </c>
      <c r="W5" s="51"/>
      <c r="X5" s="8">
        <v>43313</v>
      </c>
    </row>
    <row r="6" spans="1:24" x14ac:dyDescent="0.2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x14ac:dyDescent="0.25">
      <c r="A7" s="52" t="s">
        <v>5</v>
      </c>
      <c r="B7" s="52"/>
      <c r="C7" s="52" t="s">
        <v>6</v>
      </c>
      <c r="D7" s="52"/>
      <c r="E7" s="52"/>
      <c r="F7" s="52" t="s">
        <v>3</v>
      </c>
      <c r="G7" s="52"/>
      <c r="H7" s="52"/>
      <c r="I7" s="52"/>
      <c r="J7" s="52"/>
      <c r="K7" s="52"/>
      <c r="L7" s="52"/>
      <c r="M7" s="52"/>
      <c r="N7" s="52" t="s">
        <v>7</v>
      </c>
      <c r="O7" s="52"/>
      <c r="P7" s="52"/>
      <c r="Q7" s="52" t="s">
        <v>1</v>
      </c>
      <c r="R7" s="52"/>
      <c r="S7" s="52"/>
      <c r="T7" s="52"/>
      <c r="U7" s="52"/>
      <c r="V7" s="52"/>
      <c r="W7" s="52" t="s">
        <v>8</v>
      </c>
      <c r="X7" s="52" t="s">
        <v>9</v>
      </c>
    </row>
    <row r="8" spans="1:24" s="9" customFormat="1" x14ac:dyDescent="0.25">
      <c r="A8" s="53" t="s">
        <v>10</v>
      </c>
      <c r="B8" s="53" t="s">
        <v>11</v>
      </c>
      <c r="C8" s="53" t="s">
        <v>12</v>
      </c>
      <c r="D8" s="53" t="s">
        <v>13</v>
      </c>
      <c r="E8" s="53" t="s">
        <v>14</v>
      </c>
      <c r="F8" s="53" t="s">
        <v>15</v>
      </c>
      <c r="G8" s="53" t="s">
        <v>16</v>
      </c>
      <c r="H8" s="53" t="s">
        <v>17</v>
      </c>
      <c r="I8" s="53"/>
      <c r="J8" s="54" t="s">
        <v>18</v>
      </c>
      <c r="K8" s="54"/>
      <c r="L8" s="53" t="s">
        <v>19</v>
      </c>
      <c r="M8" s="53" t="s">
        <v>20</v>
      </c>
      <c r="N8" s="54" t="s">
        <v>21</v>
      </c>
      <c r="O8" s="54" t="s">
        <v>22</v>
      </c>
      <c r="P8" s="54" t="s">
        <v>23</v>
      </c>
      <c r="Q8" s="54" t="s">
        <v>24</v>
      </c>
      <c r="R8" s="54"/>
      <c r="S8" s="54" t="s">
        <v>25</v>
      </c>
      <c r="T8" s="54"/>
      <c r="U8" s="53" t="s">
        <v>26</v>
      </c>
      <c r="V8" s="54" t="s">
        <v>23</v>
      </c>
      <c r="W8" s="52"/>
      <c r="X8" s="52"/>
    </row>
    <row r="9" spans="1:24" s="9" customFormat="1" ht="17.25" customHeight="1" x14ac:dyDescent="0.25">
      <c r="A9" s="53"/>
      <c r="B9" s="53"/>
      <c r="C9" s="53"/>
      <c r="D9" s="53"/>
      <c r="E9" s="53"/>
      <c r="F9" s="53"/>
      <c r="G9" s="53"/>
      <c r="H9" s="10" t="s">
        <v>27</v>
      </c>
      <c r="I9" s="10" t="s">
        <v>28</v>
      </c>
      <c r="J9" s="10" t="s">
        <v>27</v>
      </c>
      <c r="K9" s="11" t="s">
        <v>29</v>
      </c>
      <c r="L9" s="53"/>
      <c r="M9" s="53"/>
      <c r="N9" s="54"/>
      <c r="O9" s="54"/>
      <c r="P9" s="54"/>
      <c r="Q9" s="10" t="s">
        <v>2</v>
      </c>
      <c r="R9" s="11" t="s">
        <v>30</v>
      </c>
      <c r="S9" s="10" t="s">
        <v>2</v>
      </c>
      <c r="T9" s="11" t="s">
        <v>30</v>
      </c>
      <c r="U9" s="53"/>
      <c r="V9" s="54"/>
      <c r="W9" s="52"/>
      <c r="X9" s="52"/>
    </row>
    <row r="10" spans="1:24" ht="38.25" x14ac:dyDescent="0.2">
      <c r="A10" s="34" t="s">
        <v>279</v>
      </c>
      <c r="B10" s="34" t="s">
        <v>272</v>
      </c>
      <c r="C10" s="34" t="s">
        <v>282</v>
      </c>
      <c r="D10" s="29" t="s">
        <v>285</v>
      </c>
      <c r="E10" s="20" t="s">
        <v>210</v>
      </c>
      <c r="F10" s="34" t="s">
        <v>284</v>
      </c>
      <c r="G10" s="30" t="s">
        <v>31</v>
      </c>
      <c r="H10" s="27" t="s">
        <v>32</v>
      </c>
      <c r="I10" s="27" t="s">
        <v>33</v>
      </c>
      <c r="J10" s="27" t="s">
        <v>61</v>
      </c>
      <c r="K10" s="31" t="s">
        <v>62</v>
      </c>
      <c r="L10" s="35">
        <v>43325</v>
      </c>
      <c r="M10" s="35" t="s">
        <v>283</v>
      </c>
      <c r="N10" s="31">
        <f>935.55/2</f>
        <v>467.77499999999998</v>
      </c>
      <c r="O10" s="31">
        <f>935.55/2</f>
        <v>467.77499999999998</v>
      </c>
      <c r="P10" s="31">
        <f>SUM(O10:O10)</f>
        <v>467.77499999999998</v>
      </c>
      <c r="Q10" s="27">
        <v>4</v>
      </c>
      <c r="R10" s="31">
        <v>120</v>
      </c>
      <c r="S10" s="27">
        <v>0</v>
      </c>
      <c r="T10" s="31">
        <v>0</v>
      </c>
      <c r="U10" s="32">
        <f>(Q10*R10)+(S10*T10)</f>
        <v>480</v>
      </c>
      <c r="V10" s="31">
        <f>U10+P10</f>
        <v>947.77499999999998</v>
      </c>
      <c r="W10" s="31">
        <f>V10</f>
        <v>947.77499999999998</v>
      </c>
      <c r="X10" s="37"/>
    </row>
    <row r="11" spans="1:24" ht="25.5" x14ac:dyDescent="0.2">
      <c r="A11" s="34" t="s">
        <v>232</v>
      </c>
      <c r="B11" s="34" t="s">
        <v>215</v>
      </c>
      <c r="C11" s="27" t="s">
        <v>48</v>
      </c>
      <c r="D11" s="29" t="s">
        <v>81</v>
      </c>
      <c r="E11" s="20" t="s">
        <v>56</v>
      </c>
      <c r="F11" s="34" t="s">
        <v>286</v>
      </c>
      <c r="G11" s="30" t="s">
        <v>31</v>
      </c>
      <c r="H11" s="27" t="s">
        <v>32</v>
      </c>
      <c r="I11" s="27" t="s">
        <v>33</v>
      </c>
      <c r="J11" s="27" t="s">
        <v>61</v>
      </c>
      <c r="K11" s="31" t="s">
        <v>62</v>
      </c>
      <c r="L11" s="35">
        <v>43319</v>
      </c>
      <c r="M11" s="35">
        <v>43320</v>
      </c>
      <c r="N11" s="31">
        <f>935.71/2</f>
        <v>467.85500000000002</v>
      </c>
      <c r="O11" s="31">
        <f>935.71/2</f>
        <v>467.85500000000002</v>
      </c>
      <c r="P11" s="31">
        <f t="shared" ref="P11:P26" si="0">SUM(O11:O11)</f>
        <v>467.85500000000002</v>
      </c>
      <c r="Q11" s="27">
        <v>4</v>
      </c>
      <c r="R11" s="31">
        <v>120</v>
      </c>
      <c r="S11" s="27">
        <v>0</v>
      </c>
      <c r="T11" s="31">
        <v>0</v>
      </c>
      <c r="U11" s="32">
        <f t="shared" ref="U11:U26" si="1">(Q11*R11)+(S11*T11)</f>
        <v>480</v>
      </c>
      <c r="V11" s="31">
        <f t="shared" ref="V11:V26" si="2">U11+P11</f>
        <v>947.85500000000002</v>
      </c>
      <c r="W11" s="31">
        <f t="shared" ref="W11:W26" si="3">V11</f>
        <v>947.85500000000002</v>
      </c>
      <c r="X11" s="33"/>
    </row>
    <row r="12" spans="1:24" ht="25.5" x14ac:dyDescent="0.2">
      <c r="A12" s="34" t="s">
        <v>250</v>
      </c>
      <c r="B12" s="34" t="s">
        <v>250</v>
      </c>
      <c r="C12" s="27" t="s">
        <v>223</v>
      </c>
      <c r="D12" s="29" t="s">
        <v>251</v>
      </c>
      <c r="E12" s="20" t="s">
        <v>55</v>
      </c>
      <c r="F12" s="34" t="s">
        <v>287</v>
      </c>
      <c r="G12" s="30" t="s">
        <v>31</v>
      </c>
      <c r="H12" s="27" t="s">
        <v>32</v>
      </c>
      <c r="I12" s="27" t="s">
        <v>33</v>
      </c>
      <c r="J12" s="27" t="s">
        <v>38</v>
      </c>
      <c r="K12" s="31" t="s">
        <v>39</v>
      </c>
      <c r="L12" s="35">
        <v>43320</v>
      </c>
      <c r="M12" s="35">
        <v>43322</v>
      </c>
      <c r="N12" s="31">
        <f>1325.12/2</f>
        <v>662.56</v>
      </c>
      <c r="O12" s="31">
        <f>1325.12/2</f>
        <v>662.56</v>
      </c>
      <c r="P12" s="31">
        <f t="shared" si="0"/>
        <v>662.56</v>
      </c>
      <c r="Q12" s="27">
        <v>0</v>
      </c>
      <c r="R12" s="31">
        <v>0</v>
      </c>
      <c r="S12" s="27">
        <v>0</v>
      </c>
      <c r="T12" s="31">
        <v>0</v>
      </c>
      <c r="U12" s="32">
        <f t="shared" si="1"/>
        <v>0</v>
      </c>
      <c r="V12" s="31">
        <f t="shared" si="2"/>
        <v>662.56</v>
      </c>
      <c r="W12" s="31">
        <f t="shared" si="3"/>
        <v>662.56</v>
      </c>
      <c r="X12" s="33"/>
    </row>
    <row r="13" spans="1:24" ht="38.25" x14ac:dyDescent="0.2">
      <c r="A13" s="34" t="s">
        <v>250</v>
      </c>
      <c r="B13" s="34" t="s">
        <v>289</v>
      </c>
      <c r="C13" s="27" t="s">
        <v>288</v>
      </c>
      <c r="D13" s="29" t="s">
        <v>291</v>
      </c>
      <c r="E13" s="20" t="s">
        <v>127</v>
      </c>
      <c r="F13" s="34" t="s">
        <v>290</v>
      </c>
      <c r="G13" s="30" t="s">
        <v>31</v>
      </c>
      <c r="H13" s="27" t="s">
        <v>32</v>
      </c>
      <c r="I13" s="27" t="s">
        <v>33</v>
      </c>
      <c r="J13" s="27" t="s">
        <v>38</v>
      </c>
      <c r="K13" s="31" t="s">
        <v>39</v>
      </c>
      <c r="L13" s="35">
        <v>43317</v>
      </c>
      <c r="M13" s="35">
        <v>43322</v>
      </c>
      <c r="N13" s="31">
        <f>1792.21/2</f>
        <v>896.10500000000002</v>
      </c>
      <c r="O13" s="31">
        <f>1792.21/2</f>
        <v>896.10500000000002</v>
      </c>
      <c r="P13" s="31">
        <f t="shared" si="0"/>
        <v>896.10500000000002</v>
      </c>
      <c r="Q13" s="27">
        <v>6</v>
      </c>
      <c r="R13" s="31">
        <v>120</v>
      </c>
      <c r="S13" s="27">
        <v>3</v>
      </c>
      <c r="T13" s="31">
        <v>100</v>
      </c>
      <c r="U13" s="32">
        <f t="shared" si="1"/>
        <v>1020</v>
      </c>
      <c r="V13" s="31">
        <f t="shared" si="2"/>
        <v>1916.105</v>
      </c>
      <c r="W13" s="31">
        <f t="shared" si="3"/>
        <v>1916.105</v>
      </c>
      <c r="X13" s="33"/>
    </row>
    <row r="14" spans="1:24" ht="25.5" x14ac:dyDescent="0.2">
      <c r="A14" s="34" t="s">
        <v>232</v>
      </c>
      <c r="B14" s="34" t="s">
        <v>215</v>
      </c>
      <c r="C14" s="27" t="s">
        <v>48</v>
      </c>
      <c r="D14" s="29" t="s">
        <v>81</v>
      </c>
      <c r="E14" s="20" t="s">
        <v>56</v>
      </c>
      <c r="F14" s="34" t="s">
        <v>292</v>
      </c>
      <c r="G14" s="30" t="s">
        <v>31</v>
      </c>
      <c r="H14" s="27" t="s">
        <v>32</v>
      </c>
      <c r="I14" s="27" t="s">
        <v>33</v>
      </c>
      <c r="J14" s="27" t="s">
        <v>38</v>
      </c>
      <c r="K14" s="31" t="s">
        <v>39</v>
      </c>
      <c r="L14" s="35">
        <v>43333</v>
      </c>
      <c r="M14" s="35">
        <v>43335</v>
      </c>
      <c r="N14" s="31">
        <f>1324.55/2</f>
        <v>662.27499999999998</v>
      </c>
      <c r="O14" s="31">
        <f>1324.55/2</f>
        <v>662.27499999999998</v>
      </c>
      <c r="P14" s="31">
        <f t="shared" si="0"/>
        <v>662.27499999999998</v>
      </c>
      <c r="Q14" s="27">
        <v>6</v>
      </c>
      <c r="R14" s="31">
        <v>120</v>
      </c>
      <c r="S14" s="27">
        <v>0</v>
      </c>
      <c r="T14" s="31">
        <v>0</v>
      </c>
      <c r="U14" s="32">
        <f t="shared" si="1"/>
        <v>720</v>
      </c>
      <c r="V14" s="31">
        <f t="shared" si="2"/>
        <v>1382.2750000000001</v>
      </c>
      <c r="W14" s="31">
        <f t="shared" si="3"/>
        <v>1382.2750000000001</v>
      </c>
      <c r="X14" s="33"/>
    </row>
    <row r="15" spans="1:24" ht="38.25" x14ac:dyDescent="0.2">
      <c r="A15" s="34" t="s">
        <v>279</v>
      </c>
      <c r="B15" s="34" t="s">
        <v>279</v>
      </c>
      <c r="C15" s="27" t="s">
        <v>75</v>
      </c>
      <c r="D15" s="29" t="s">
        <v>104</v>
      </c>
      <c r="E15" s="20" t="s">
        <v>88</v>
      </c>
      <c r="F15" s="34" t="s">
        <v>292</v>
      </c>
      <c r="G15" s="30" t="s">
        <v>31</v>
      </c>
      <c r="H15" s="27" t="s">
        <v>32</v>
      </c>
      <c r="I15" s="27" t="s">
        <v>33</v>
      </c>
      <c r="J15" s="27" t="s">
        <v>38</v>
      </c>
      <c r="K15" s="31" t="s">
        <v>39</v>
      </c>
      <c r="L15" s="35">
        <v>43333</v>
      </c>
      <c r="M15" s="35">
        <v>43335</v>
      </c>
      <c r="N15" s="31">
        <f>1176.78/2</f>
        <v>588.39</v>
      </c>
      <c r="O15" s="31">
        <f>1176.78/2</f>
        <v>588.39</v>
      </c>
      <c r="P15" s="31">
        <f t="shared" si="0"/>
        <v>588.39</v>
      </c>
      <c r="Q15" s="27">
        <v>0</v>
      </c>
      <c r="R15" s="31">
        <v>0</v>
      </c>
      <c r="S15" s="27">
        <v>0</v>
      </c>
      <c r="T15" s="31">
        <v>0</v>
      </c>
      <c r="U15" s="32">
        <f t="shared" si="1"/>
        <v>0</v>
      </c>
      <c r="V15" s="31">
        <f t="shared" si="2"/>
        <v>588.39</v>
      </c>
      <c r="W15" s="31">
        <f t="shared" si="3"/>
        <v>588.39</v>
      </c>
      <c r="X15" s="33"/>
    </row>
    <row r="16" spans="1:24" ht="38.25" x14ac:dyDescent="0.2">
      <c r="A16" s="34" t="s">
        <v>279</v>
      </c>
      <c r="B16" s="34" t="s">
        <v>279</v>
      </c>
      <c r="C16" s="27" t="s">
        <v>72</v>
      </c>
      <c r="D16" s="29" t="s">
        <v>104</v>
      </c>
      <c r="E16" s="20" t="s">
        <v>87</v>
      </c>
      <c r="F16" s="34" t="s">
        <v>292</v>
      </c>
      <c r="G16" s="30" t="s">
        <v>31</v>
      </c>
      <c r="H16" s="27" t="s">
        <v>32</v>
      </c>
      <c r="I16" s="27" t="s">
        <v>33</v>
      </c>
      <c r="J16" s="27" t="s">
        <v>38</v>
      </c>
      <c r="K16" s="31" t="s">
        <v>39</v>
      </c>
      <c r="L16" s="35">
        <v>43333</v>
      </c>
      <c r="M16" s="35">
        <v>43335</v>
      </c>
      <c r="N16" s="31">
        <f>1102.78/2</f>
        <v>551.39</v>
      </c>
      <c r="O16" s="31">
        <f>1102.78/2</f>
        <v>551.39</v>
      </c>
      <c r="P16" s="31">
        <f t="shared" si="0"/>
        <v>551.39</v>
      </c>
      <c r="Q16" s="27">
        <v>3</v>
      </c>
      <c r="R16" s="31">
        <v>120</v>
      </c>
      <c r="S16" s="27">
        <v>0</v>
      </c>
      <c r="T16" s="31">
        <v>0</v>
      </c>
      <c r="U16" s="32">
        <f t="shared" si="1"/>
        <v>360</v>
      </c>
      <c r="V16" s="31">
        <f t="shared" si="2"/>
        <v>911.39</v>
      </c>
      <c r="W16" s="31">
        <f t="shared" si="3"/>
        <v>911.39</v>
      </c>
      <c r="X16" s="33"/>
    </row>
    <row r="17" spans="1:24" ht="38.25" x14ac:dyDescent="0.2">
      <c r="A17" s="34" t="s">
        <v>279</v>
      </c>
      <c r="B17" s="34" t="s">
        <v>238</v>
      </c>
      <c r="C17" s="27" t="s">
        <v>135</v>
      </c>
      <c r="D17" s="29" t="s">
        <v>151</v>
      </c>
      <c r="E17" s="20" t="s">
        <v>303</v>
      </c>
      <c r="F17" s="34" t="s">
        <v>292</v>
      </c>
      <c r="G17" s="30" t="s">
        <v>31</v>
      </c>
      <c r="H17" s="27" t="s">
        <v>32</v>
      </c>
      <c r="I17" s="27" t="s">
        <v>33</v>
      </c>
      <c r="J17" s="27" t="s">
        <v>38</v>
      </c>
      <c r="K17" s="31" t="s">
        <v>39</v>
      </c>
      <c r="L17" s="35">
        <v>43333</v>
      </c>
      <c r="M17" s="35">
        <v>43335</v>
      </c>
      <c r="N17" s="31">
        <f>1408.52/2</f>
        <v>704.26</v>
      </c>
      <c r="O17" s="31">
        <f>1408.52/2</f>
        <v>704.26</v>
      </c>
      <c r="P17" s="31">
        <f t="shared" si="0"/>
        <v>704.26</v>
      </c>
      <c r="Q17" s="27">
        <v>7</v>
      </c>
      <c r="R17" s="31">
        <v>120</v>
      </c>
      <c r="S17" s="27">
        <v>0</v>
      </c>
      <c r="T17" s="31">
        <v>0</v>
      </c>
      <c r="U17" s="32">
        <f t="shared" si="1"/>
        <v>840</v>
      </c>
      <c r="V17" s="31">
        <f t="shared" si="2"/>
        <v>1544.26</v>
      </c>
      <c r="W17" s="31">
        <f t="shared" si="3"/>
        <v>1544.26</v>
      </c>
      <c r="X17" s="33"/>
    </row>
    <row r="18" spans="1:24" ht="38.25" x14ac:dyDescent="0.2">
      <c r="A18" s="34" t="s">
        <v>279</v>
      </c>
      <c r="B18" s="34" t="s">
        <v>238</v>
      </c>
      <c r="C18" s="27" t="s">
        <v>134</v>
      </c>
      <c r="D18" s="29" t="s">
        <v>149</v>
      </c>
      <c r="E18" s="20" t="s">
        <v>309</v>
      </c>
      <c r="F18" s="34" t="s">
        <v>292</v>
      </c>
      <c r="G18" s="30" t="s">
        <v>31</v>
      </c>
      <c r="H18" s="27" t="s">
        <v>32</v>
      </c>
      <c r="I18" s="27" t="s">
        <v>33</v>
      </c>
      <c r="J18" s="27" t="s">
        <v>38</v>
      </c>
      <c r="K18" s="31" t="s">
        <v>39</v>
      </c>
      <c r="L18" s="35">
        <v>43333</v>
      </c>
      <c r="M18" s="35">
        <v>43335</v>
      </c>
      <c r="N18" s="31">
        <f>1408.52/2</f>
        <v>704.26</v>
      </c>
      <c r="O18" s="31">
        <f>1408.52/2</f>
        <v>704.26</v>
      </c>
      <c r="P18" s="31">
        <f t="shared" si="0"/>
        <v>704.26</v>
      </c>
      <c r="Q18" s="27">
        <v>5</v>
      </c>
      <c r="R18" s="31">
        <v>120</v>
      </c>
      <c r="S18" s="27">
        <v>0</v>
      </c>
      <c r="T18" s="31">
        <v>0</v>
      </c>
      <c r="U18" s="32">
        <f t="shared" si="1"/>
        <v>600</v>
      </c>
      <c r="V18" s="31">
        <f t="shared" si="2"/>
        <v>1304.26</v>
      </c>
      <c r="W18" s="31">
        <f t="shared" si="3"/>
        <v>1304.26</v>
      </c>
      <c r="X18" s="33"/>
    </row>
    <row r="19" spans="1:24" ht="38.25" x14ac:dyDescent="0.2">
      <c r="A19" s="34" t="s">
        <v>279</v>
      </c>
      <c r="B19" s="34" t="s">
        <v>300</v>
      </c>
      <c r="C19" s="27" t="s">
        <v>293</v>
      </c>
      <c r="D19" s="29" t="s">
        <v>304</v>
      </c>
      <c r="E19" s="20" t="s">
        <v>310</v>
      </c>
      <c r="F19" s="34" t="s">
        <v>292</v>
      </c>
      <c r="G19" s="30" t="s">
        <v>31</v>
      </c>
      <c r="H19" s="27" t="s">
        <v>32</v>
      </c>
      <c r="I19" s="27" t="s">
        <v>33</v>
      </c>
      <c r="J19" s="27" t="s">
        <v>38</v>
      </c>
      <c r="K19" s="31" t="s">
        <v>39</v>
      </c>
      <c r="L19" s="35">
        <v>43333</v>
      </c>
      <c r="M19" s="35">
        <v>43335</v>
      </c>
      <c r="N19" s="31">
        <f>1283.72/2</f>
        <v>641.86</v>
      </c>
      <c r="O19" s="31">
        <f>1283.72/2</f>
        <v>641.86</v>
      </c>
      <c r="P19" s="31">
        <f t="shared" si="0"/>
        <v>641.86</v>
      </c>
      <c r="Q19" s="27">
        <v>3</v>
      </c>
      <c r="R19" s="31">
        <v>120</v>
      </c>
      <c r="S19" s="27">
        <v>0</v>
      </c>
      <c r="T19" s="31">
        <v>0</v>
      </c>
      <c r="U19" s="32">
        <f t="shared" si="1"/>
        <v>360</v>
      </c>
      <c r="V19" s="31">
        <f t="shared" si="2"/>
        <v>1001.86</v>
      </c>
      <c r="W19" s="31">
        <f t="shared" si="3"/>
        <v>1001.86</v>
      </c>
      <c r="X19" s="33"/>
    </row>
    <row r="20" spans="1:24" ht="51" x14ac:dyDescent="0.2">
      <c r="A20" s="34" t="s">
        <v>279</v>
      </c>
      <c r="B20" s="34" t="s">
        <v>300</v>
      </c>
      <c r="C20" s="27" t="s">
        <v>294</v>
      </c>
      <c r="D20" s="29" t="s">
        <v>305</v>
      </c>
      <c r="E20" s="20" t="s">
        <v>311</v>
      </c>
      <c r="F20" s="34" t="s">
        <v>292</v>
      </c>
      <c r="G20" s="30" t="s">
        <v>31</v>
      </c>
      <c r="H20" s="27" t="s">
        <v>32</v>
      </c>
      <c r="I20" s="27" t="s">
        <v>33</v>
      </c>
      <c r="J20" s="27" t="s">
        <v>38</v>
      </c>
      <c r="K20" s="31" t="s">
        <v>39</v>
      </c>
      <c r="L20" s="35">
        <v>43333</v>
      </c>
      <c r="M20" s="35">
        <v>43335</v>
      </c>
      <c r="N20" s="31">
        <f>1283.72/2</f>
        <v>641.86</v>
      </c>
      <c r="O20" s="31">
        <f>1283.72/2</f>
        <v>641.86</v>
      </c>
      <c r="P20" s="31">
        <f t="shared" si="0"/>
        <v>641.86</v>
      </c>
      <c r="Q20" s="27">
        <v>3</v>
      </c>
      <c r="R20" s="31">
        <v>120</v>
      </c>
      <c r="S20" s="27">
        <v>0</v>
      </c>
      <c r="T20" s="31">
        <v>0</v>
      </c>
      <c r="U20" s="32">
        <f t="shared" si="1"/>
        <v>360</v>
      </c>
      <c r="V20" s="31">
        <f t="shared" si="2"/>
        <v>1001.86</v>
      </c>
      <c r="W20" s="31">
        <f t="shared" si="3"/>
        <v>1001.86</v>
      </c>
      <c r="X20" s="33"/>
    </row>
    <row r="21" spans="1:24" ht="25.5" x14ac:dyDescent="0.2">
      <c r="A21" s="34" t="s">
        <v>232</v>
      </c>
      <c r="B21" s="34" t="s">
        <v>232</v>
      </c>
      <c r="C21" s="27" t="s">
        <v>80</v>
      </c>
      <c r="D21" s="29" t="s">
        <v>104</v>
      </c>
      <c r="E21" s="20" t="s">
        <v>90</v>
      </c>
      <c r="F21" s="34" t="s">
        <v>292</v>
      </c>
      <c r="G21" s="30" t="s">
        <v>31</v>
      </c>
      <c r="H21" s="27" t="s">
        <v>32</v>
      </c>
      <c r="I21" s="27" t="s">
        <v>33</v>
      </c>
      <c r="J21" s="27" t="s">
        <v>38</v>
      </c>
      <c r="K21" s="31" t="s">
        <v>39</v>
      </c>
      <c r="L21" s="35">
        <v>43333</v>
      </c>
      <c r="M21" s="35">
        <v>43335</v>
      </c>
      <c r="N21" s="31">
        <f>1324.55/2</f>
        <v>662.27499999999998</v>
      </c>
      <c r="O21" s="31">
        <f>1324.55/2</f>
        <v>662.27499999999998</v>
      </c>
      <c r="P21" s="31">
        <f t="shared" si="0"/>
        <v>662.27499999999998</v>
      </c>
      <c r="Q21" s="27">
        <v>0</v>
      </c>
      <c r="R21" s="31">
        <v>0</v>
      </c>
      <c r="S21" s="27">
        <v>0</v>
      </c>
      <c r="T21" s="31">
        <v>0</v>
      </c>
      <c r="U21" s="32">
        <f t="shared" si="1"/>
        <v>0</v>
      </c>
      <c r="V21" s="31">
        <f t="shared" si="2"/>
        <v>662.27499999999998</v>
      </c>
      <c r="W21" s="31">
        <f t="shared" si="3"/>
        <v>662.27499999999998</v>
      </c>
      <c r="X21" s="33"/>
    </row>
    <row r="22" spans="1:24" ht="38.25" customHeight="1" x14ac:dyDescent="0.2">
      <c r="A22" s="34" t="s">
        <v>279</v>
      </c>
      <c r="B22" s="34" t="s">
        <v>272</v>
      </c>
      <c r="C22" s="27" t="s">
        <v>295</v>
      </c>
      <c r="D22" s="29" t="s">
        <v>306</v>
      </c>
      <c r="E22" s="20" t="s">
        <v>312</v>
      </c>
      <c r="F22" s="34" t="s">
        <v>292</v>
      </c>
      <c r="G22" s="30" t="s">
        <v>31</v>
      </c>
      <c r="H22" s="27" t="s">
        <v>32</v>
      </c>
      <c r="I22" s="27" t="s">
        <v>33</v>
      </c>
      <c r="J22" s="27" t="s">
        <v>38</v>
      </c>
      <c r="K22" s="31" t="s">
        <v>39</v>
      </c>
      <c r="L22" s="35">
        <v>43333</v>
      </c>
      <c r="M22" s="35">
        <v>43335</v>
      </c>
      <c r="N22" s="31">
        <f>1408.52/2</f>
        <v>704.26</v>
      </c>
      <c r="O22" s="31">
        <f>1408.52/2</f>
        <v>704.26</v>
      </c>
      <c r="P22" s="31">
        <f t="shared" si="0"/>
        <v>704.26</v>
      </c>
      <c r="Q22" s="27">
        <v>3</v>
      </c>
      <c r="R22" s="31">
        <v>120</v>
      </c>
      <c r="S22" s="27">
        <v>0</v>
      </c>
      <c r="T22" s="31">
        <v>0</v>
      </c>
      <c r="U22" s="32">
        <f t="shared" si="1"/>
        <v>360</v>
      </c>
      <c r="V22" s="31">
        <f t="shared" si="2"/>
        <v>1064.26</v>
      </c>
      <c r="W22" s="31">
        <f t="shared" si="3"/>
        <v>1064.26</v>
      </c>
      <c r="X22" s="33"/>
    </row>
    <row r="23" spans="1:24" ht="38.25" customHeight="1" x14ac:dyDescent="0.2">
      <c r="A23" s="34" t="s">
        <v>279</v>
      </c>
      <c r="B23" s="34" t="s">
        <v>272</v>
      </c>
      <c r="C23" s="27" t="s">
        <v>191</v>
      </c>
      <c r="D23" s="29" t="s">
        <v>196</v>
      </c>
      <c r="E23" s="20" t="s">
        <v>209</v>
      </c>
      <c r="F23" s="34" t="s">
        <v>292</v>
      </c>
      <c r="G23" s="30" t="s">
        <v>31</v>
      </c>
      <c r="H23" s="27" t="s">
        <v>32</v>
      </c>
      <c r="I23" s="27" t="s">
        <v>33</v>
      </c>
      <c r="J23" s="27" t="s">
        <v>38</v>
      </c>
      <c r="K23" s="31" t="s">
        <v>39</v>
      </c>
      <c r="L23" s="35">
        <v>43333</v>
      </c>
      <c r="M23" s="35">
        <v>43335</v>
      </c>
      <c r="N23" s="31">
        <f>1408.51/2</f>
        <v>704.255</v>
      </c>
      <c r="O23" s="31">
        <f>1408.51/2</f>
        <v>704.255</v>
      </c>
      <c r="P23" s="31">
        <f t="shared" si="0"/>
        <v>704.255</v>
      </c>
      <c r="Q23" s="27">
        <v>3</v>
      </c>
      <c r="R23" s="31">
        <v>120</v>
      </c>
      <c r="S23" s="27">
        <v>0</v>
      </c>
      <c r="T23" s="31">
        <v>0</v>
      </c>
      <c r="U23" s="32">
        <f t="shared" si="1"/>
        <v>360</v>
      </c>
      <c r="V23" s="31">
        <f t="shared" si="2"/>
        <v>1064.2550000000001</v>
      </c>
      <c r="W23" s="31">
        <f t="shared" si="3"/>
        <v>1064.2550000000001</v>
      </c>
      <c r="X23" s="33"/>
    </row>
    <row r="24" spans="1:24" ht="43.5" customHeight="1" x14ac:dyDescent="0.2">
      <c r="A24" s="34" t="s">
        <v>232</v>
      </c>
      <c r="B24" s="34" t="s">
        <v>301</v>
      </c>
      <c r="C24" s="27" t="s">
        <v>296</v>
      </c>
      <c r="D24" s="29" t="s">
        <v>307</v>
      </c>
      <c r="E24" s="20" t="s">
        <v>313</v>
      </c>
      <c r="F24" s="34" t="s">
        <v>297</v>
      </c>
      <c r="G24" s="30" t="s">
        <v>31</v>
      </c>
      <c r="H24" s="27" t="s">
        <v>32</v>
      </c>
      <c r="I24" s="27" t="s">
        <v>33</v>
      </c>
      <c r="J24" s="27" t="s">
        <v>61</v>
      </c>
      <c r="K24" s="31" t="s">
        <v>62</v>
      </c>
      <c r="L24" s="35">
        <v>43333</v>
      </c>
      <c r="M24" s="35">
        <v>43335</v>
      </c>
      <c r="N24" s="31">
        <v>800.12</v>
      </c>
      <c r="O24" s="31">
        <v>508.09</v>
      </c>
      <c r="P24" s="31">
        <f t="shared" si="0"/>
        <v>508.09</v>
      </c>
      <c r="Q24" s="27">
        <v>3</v>
      </c>
      <c r="R24" s="31">
        <v>120</v>
      </c>
      <c r="S24" s="27">
        <v>0</v>
      </c>
      <c r="T24" s="31">
        <v>0</v>
      </c>
      <c r="U24" s="32">
        <f t="shared" si="1"/>
        <v>360</v>
      </c>
      <c r="V24" s="31">
        <f t="shared" si="2"/>
        <v>868.08999999999992</v>
      </c>
      <c r="W24" s="31">
        <f t="shared" si="3"/>
        <v>868.08999999999992</v>
      </c>
      <c r="X24" s="33"/>
    </row>
    <row r="25" spans="1:24" ht="38.25" x14ac:dyDescent="0.2">
      <c r="A25" s="34" t="s">
        <v>250</v>
      </c>
      <c r="B25" s="34" t="s">
        <v>250</v>
      </c>
      <c r="C25" s="27" t="s">
        <v>223</v>
      </c>
      <c r="D25" s="29" t="s">
        <v>104</v>
      </c>
      <c r="E25" s="20" t="s">
        <v>55</v>
      </c>
      <c r="F25" s="34" t="s">
        <v>292</v>
      </c>
      <c r="G25" s="30" t="s">
        <v>31</v>
      </c>
      <c r="H25" s="27" t="s">
        <v>32</v>
      </c>
      <c r="I25" s="27" t="s">
        <v>33</v>
      </c>
      <c r="J25" s="27" t="s">
        <v>38</v>
      </c>
      <c r="K25" s="31" t="s">
        <v>39</v>
      </c>
      <c r="L25" s="35">
        <v>43333</v>
      </c>
      <c r="M25" s="35">
        <v>43335</v>
      </c>
      <c r="N25" s="31">
        <f>1516.31/2</f>
        <v>758.15499999999997</v>
      </c>
      <c r="O25" s="31">
        <f>1516.31/2</f>
        <v>758.15499999999997</v>
      </c>
      <c r="P25" s="31">
        <f t="shared" si="0"/>
        <v>758.15499999999997</v>
      </c>
      <c r="Q25" s="27"/>
      <c r="R25" s="31">
        <v>0</v>
      </c>
      <c r="S25" s="27">
        <v>0</v>
      </c>
      <c r="T25" s="31">
        <v>0</v>
      </c>
      <c r="U25" s="32">
        <f t="shared" si="1"/>
        <v>0</v>
      </c>
      <c r="V25" s="31">
        <f t="shared" si="2"/>
        <v>758.15499999999997</v>
      </c>
      <c r="W25" s="31">
        <f t="shared" si="3"/>
        <v>758.15499999999997</v>
      </c>
      <c r="X25" s="33"/>
    </row>
    <row r="26" spans="1:24" ht="25.5" x14ac:dyDescent="0.2">
      <c r="A26" s="34" t="s">
        <v>232</v>
      </c>
      <c r="B26" s="34" t="s">
        <v>302</v>
      </c>
      <c r="C26" s="27" t="s">
        <v>298</v>
      </c>
      <c r="D26" s="29" t="s">
        <v>308</v>
      </c>
      <c r="E26" s="20" t="s">
        <v>314</v>
      </c>
      <c r="F26" s="34" t="s">
        <v>299</v>
      </c>
      <c r="G26" s="30" t="s">
        <v>31</v>
      </c>
      <c r="H26" s="27" t="s">
        <v>32</v>
      </c>
      <c r="I26" s="27" t="s">
        <v>33</v>
      </c>
      <c r="J26" s="27" t="s">
        <v>61</v>
      </c>
      <c r="K26" s="31" t="s">
        <v>62</v>
      </c>
      <c r="L26" s="35">
        <v>43338</v>
      </c>
      <c r="M26" s="35">
        <v>43340</v>
      </c>
      <c r="N26" s="31">
        <v>834.87</v>
      </c>
      <c r="O26" s="31">
        <v>449.91</v>
      </c>
      <c r="P26" s="31">
        <f t="shared" si="0"/>
        <v>449.91</v>
      </c>
      <c r="Q26" s="27">
        <v>3</v>
      </c>
      <c r="R26" s="31">
        <v>120</v>
      </c>
      <c r="S26" s="27">
        <v>0</v>
      </c>
      <c r="T26" s="31">
        <v>0</v>
      </c>
      <c r="U26" s="32">
        <f t="shared" si="1"/>
        <v>360</v>
      </c>
      <c r="V26" s="31">
        <f t="shared" si="2"/>
        <v>809.91000000000008</v>
      </c>
      <c r="W26" s="31">
        <f t="shared" si="3"/>
        <v>809.91000000000008</v>
      </c>
      <c r="X26" s="33"/>
    </row>
  </sheetData>
  <mergeCells count="27">
    <mergeCell ref="V8:V9"/>
    <mergeCell ref="N8:N9"/>
    <mergeCell ref="P8:P9"/>
    <mergeCell ref="Q8:R8"/>
    <mergeCell ref="S8:T8"/>
    <mergeCell ref="U8:U9"/>
    <mergeCell ref="G8:G9"/>
    <mergeCell ref="H8:I8"/>
    <mergeCell ref="J8:K8"/>
    <mergeCell ref="L8:L9"/>
    <mergeCell ref="M8:M9"/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</mergeCells>
  <pageMargins left="0" right="0" top="0.39370078740157505" bottom="0.39370078740157505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D31" sqref="D31"/>
    </sheetView>
  </sheetViews>
  <sheetFormatPr defaultRowHeight="15" customHeight="1" x14ac:dyDescent="0.2"/>
  <cols>
    <col min="1" max="1" width="19.125" customWidth="1"/>
    <col min="2" max="2" width="28.875" bestFit="1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13.875" bestFit="1" customWidth="1"/>
    <col min="9" max="9" width="16.5" customWidth="1"/>
    <col min="10" max="10" width="4" customWidth="1"/>
    <col min="11" max="11" width="16.75" customWidth="1"/>
    <col min="12" max="12" width="13.875" bestFit="1" customWidth="1"/>
    <col min="13" max="13" width="12.25" customWidth="1"/>
    <col min="14" max="14" width="14" customWidth="1"/>
    <col min="15" max="15" width="14.25" customWidth="1"/>
    <col min="16" max="23" width="18" customWidth="1"/>
    <col min="24" max="24" width="42.5" bestFit="1" customWidth="1"/>
    <col min="25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1" t="s">
        <v>0</v>
      </c>
      <c r="W5" s="51"/>
      <c r="X5" s="8">
        <v>43344</v>
      </c>
    </row>
    <row r="6" spans="1:24" x14ac:dyDescent="0.2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x14ac:dyDescent="0.25">
      <c r="A7" s="52" t="s">
        <v>5</v>
      </c>
      <c r="B7" s="52"/>
      <c r="C7" s="52" t="s">
        <v>6</v>
      </c>
      <c r="D7" s="52"/>
      <c r="E7" s="52"/>
      <c r="F7" s="52" t="s">
        <v>3</v>
      </c>
      <c r="G7" s="52"/>
      <c r="H7" s="52"/>
      <c r="I7" s="52"/>
      <c r="J7" s="52"/>
      <c r="K7" s="52"/>
      <c r="L7" s="52"/>
      <c r="M7" s="52"/>
      <c r="N7" s="52" t="s">
        <v>7</v>
      </c>
      <c r="O7" s="52"/>
      <c r="P7" s="52"/>
      <c r="Q7" s="52" t="s">
        <v>1</v>
      </c>
      <c r="R7" s="52"/>
      <c r="S7" s="52"/>
      <c r="T7" s="52"/>
      <c r="U7" s="52"/>
      <c r="V7" s="52"/>
      <c r="W7" s="52" t="s">
        <v>8</v>
      </c>
      <c r="X7" s="52" t="s">
        <v>9</v>
      </c>
    </row>
    <row r="8" spans="1:24" s="9" customFormat="1" x14ac:dyDescent="0.25">
      <c r="A8" s="53" t="s">
        <v>10</v>
      </c>
      <c r="B8" s="53" t="s">
        <v>11</v>
      </c>
      <c r="C8" s="53" t="s">
        <v>12</v>
      </c>
      <c r="D8" s="53" t="s">
        <v>13</v>
      </c>
      <c r="E8" s="53" t="s">
        <v>14</v>
      </c>
      <c r="F8" s="53" t="s">
        <v>15</v>
      </c>
      <c r="G8" s="53" t="s">
        <v>16</v>
      </c>
      <c r="H8" s="53" t="s">
        <v>17</v>
      </c>
      <c r="I8" s="53"/>
      <c r="J8" s="54" t="s">
        <v>18</v>
      </c>
      <c r="K8" s="54"/>
      <c r="L8" s="53" t="s">
        <v>19</v>
      </c>
      <c r="M8" s="53" t="s">
        <v>20</v>
      </c>
      <c r="N8" s="54" t="s">
        <v>21</v>
      </c>
      <c r="O8" s="54" t="s">
        <v>22</v>
      </c>
      <c r="P8" s="54" t="s">
        <v>23</v>
      </c>
      <c r="Q8" s="54" t="s">
        <v>24</v>
      </c>
      <c r="R8" s="54"/>
      <c r="S8" s="54" t="s">
        <v>25</v>
      </c>
      <c r="T8" s="54"/>
      <c r="U8" s="53" t="s">
        <v>26</v>
      </c>
      <c r="V8" s="54" t="s">
        <v>23</v>
      </c>
      <c r="W8" s="52"/>
      <c r="X8" s="52"/>
    </row>
    <row r="9" spans="1:24" s="9" customFormat="1" ht="17.25" customHeight="1" x14ac:dyDescent="0.25">
      <c r="A9" s="53"/>
      <c r="B9" s="53"/>
      <c r="C9" s="53"/>
      <c r="D9" s="53"/>
      <c r="E9" s="53"/>
      <c r="F9" s="53"/>
      <c r="G9" s="53"/>
      <c r="H9" s="10" t="s">
        <v>27</v>
      </c>
      <c r="I9" s="10" t="s">
        <v>28</v>
      </c>
      <c r="J9" s="10" t="s">
        <v>27</v>
      </c>
      <c r="K9" s="11" t="s">
        <v>29</v>
      </c>
      <c r="L9" s="53"/>
      <c r="M9" s="53"/>
      <c r="N9" s="54"/>
      <c r="O9" s="54"/>
      <c r="P9" s="54"/>
      <c r="Q9" s="10" t="s">
        <v>2</v>
      </c>
      <c r="R9" s="11" t="s">
        <v>30</v>
      </c>
      <c r="S9" s="10" t="s">
        <v>2</v>
      </c>
      <c r="T9" s="11" t="s">
        <v>30</v>
      </c>
      <c r="U9" s="53"/>
      <c r="V9" s="54"/>
      <c r="W9" s="52"/>
      <c r="X9" s="52"/>
    </row>
    <row r="10" spans="1:24" ht="38.25" x14ac:dyDescent="0.2">
      <c r="A10" s="34" t="s">
        <v>250</v>
      </c>
      <c r="B10" s="34" t="s">
        <v>289</v>
      </c>
      <c r="C10" s="50" t="s">
        <v>95</v>
      </c>
      <c r="D10" s="29" t="s">
        <v>96</v>
      </c>
      <c r="E10" s="20" t="s">
        <v>327</v>
      </c>
      <c r="F10" s="34" t="s">
        <v>315</v>
      </c>
      <c r="G10" s="30" t="s">
        <v>31</v>
      </c>
      <c r="H10" s="27" t="s">
        <v>32</v>
      </c>
      <c r="I10" s="27" t="s">
        <v>33</v>
      </c>
      <c r="J10" s="27" t="s">
        <v>61</v>
      </c>
      <c r="K10" s="31" t="s">
        <v>62</v>
      </c>
      <c r="L10" s="35">
        <v>43366</v>
      </c>
      <c r="M10" s="35">
        <v>43370</v>
      </c>
      <c r="N10" s="31">
        <f>1239.88/2</f>
        <v>619.94000000000005</v>
      </c>
      <c r="O10" s="31">
        <f>1239.88/2</f>
        <v>619.94000000000005</v>
      </c>
      <c r="P10" s="31">
        <f>SUM(O10:O10)</f>
        <v>619.94000000000005</v>
      </c>
      <c r="Q10" s="27">
        <v>4</v>
      </c>
      <c r="R10" s="31">
        <v>120</v>
      </c>
      <c r="S10" s="27">
        <v>0</v>
      </c>
      <c r="T10" s="31">
        <v>0</v>
      </c>
      <c r="U10" s="32">
        <f>(Q10*R10)+(S10*T10)</f>
        <v>480</v>
      </c>
      <c r="V10" s="31">
        <f>U10+P10</f>
        <v>1099.94</v>
      </c>
      <c r="W10" s="31">
        <f>V10</f>
        <v>1099.94</v>
      </c>
      <c r="X10" s="37"/>
    </row>
    <row r="11" spans="1:24" ht="25.5" x14ac:dyDescent="0.2">
      <c r="A11" s="34" t="s">
        <v>229</v>
      </c>
      <c r="B11" s="34" t="s">
        <v>229</v>
      </c>
      <c r="C11" s="27" t="s">
        <v>80</v>
      </c>
      <c r="D11" s="29" t="s">
        <v>104</v>
      </c>
      <c r="E11" s="20" t="s">
        <v>90</v>
      </c>
      <c r="F11" s="34" t="s">
        <v>317</v>
      </c>
      <c r="G11" s="30" t="s">
        <v>31</v>
      </c>
      <c r="H11" s="27" t="s">
        <v>32</v>
      </c>
      <c r="I11" s="27" t="s">
        <v>33</v>
      </c>
      <c r="J11" s="27" t="s">
        <v>316</v>
      </c>
      <c r="K11" s="31" t="s">
        <v>39</v>
      </c>
      <c r="L11" s="35">
        <v>43355</v>
      </c>
      <c r="M11" s="35">
        <v>43356</v>
      </c>
      <c r="N11" s="31">
        <v>798.96</v>
      </c>
      <c r="O11" s="31">
        <v>832.14</v>
      </c>
      <c r="P11" s="31">
        <f t="shared" ref="P11:P19" si="0">SUM(O11:O11)</f>
        <v>832.14</v>
      </c>
      <c r="Q11" s="27">
        <v>0</v>
      </c>
      <c r="R11" s="31">
        <v>0</v>
      </c>
      <c r="S11" s="27">
        <v>0</v>
      </c>
      <c r="T11" s="31">
        <v>0</v>
      </c>
      <c r="U11" s="32">
        <f t="shared" ref="U11:U19" si="1">(Q11*R11)+(S11*T11)</f>
        <v>0</v>
      </c>
      <c r="V11" s="31">
        <f t="shared" ref="V11:V19" si="2">U11+P11</f>
        <v>832.14</v>
      </c>
      <c r="W11" s="31">
        <f t="shared" ref="W11:W19" si="3">V11</f>
        <v>832.14</v>
      </c>
      <c r="X11" s="33"/>
    </row>
    <row r="12" spans="1:24" ht="25.5" customHeight="1" x14ac:dyDescent="0.2">
      <c r="A12" s="34" t="s">
        <v>215</v>
      </c>
      <c r="B12" s="34" t="s">
        <v>215</v>
      </c>
      <c r="C12" s="27" t="s">
        <v>48</v>
      </c>
      <c r="D12" s="29" t="s">
        <v>81</v>
      </c>
      <c r="E12" s="20" t="s">
        <v>56</v>
      </c>
      <c r="F12" s="34" t="s">
        <v>317</v>
      </c>
      <c r="G12" s="30" t="s">
        <v>31</v>
      </c>
      <c r="H12" s="27" t="s">
        <v>32</v>
      </c>
      <c r="I12" s="27" t="s">
        <v>33</v>
      </c>
      <c r="J12" s="27" t="s">
        <v>316</v>
      </c>
      <c r="K12" s="31" t="s">
        <v>39</v>
      </c>
      <c r="L12" s="35">
        <v>43355</v>
      </c>
      <c r="M12" s="35">
        <v>43356</v>
      </c>
      <c r="N12" s="31">
        <v>798.96</v>
      </c>
      <c r="O12" s="31">
        <v>832.14</v>
      </c>
      <c r="P12" s="31">
        <f t="shared" si="0"/>
        <v>832.14</v>
      </c>
      <c r="Q12" s="27">
        <v>4</v>
      </c>
      <c r="R12" s="31">
        <v>120</v>
      </c>
      <c r="S12" s="27">
        <v>0</v>
      </c>
      <c r="T12" s="31">
        <v>0</v>
      </c>
      <c r="U12" s="32">
        <f t="shared" si="1"/>
        <v>480</v>
      </c>
      <c r="V12" s="31">
        <f t="shared" si="2"/>
        <v>1312.1399999999999</v>
      </c>
      <c r="W12" s="31">
        <f t="shared" si="3"/>
        <v>1312.1399999999999</v>
      </c>
      <c r="X12" s="33"/>
    </row>
    <row r="13" spans="1:24" ht="38.25" x14ac:dyDescent="0.2">
      <c r="A13" s="34" t="s">
        <v>215</v>
      </c>
      <c r="B13" s="34" t="s">
        <v>215</v>
      </c>
      <c r="C13" s="27" t="s">
        <v>48</v>
      </c>
      <c r="D13" s="29" t="s">
        <v>81</v>
      </c>
      <c r="E13" s="20" t="s">
        <v>56</v>
      </c>
      <c r="F13" s="34" t="s">
        <v>318</v>
      </c>
      <c r="G13" s="30" t="s">
        <v>31</v>
      </c>
      <c r="H13" s="27" t="s">
        <v>32</v>
      </c>
      <c r="I13" s="27" t="s">
        <v>33</v>
      </c>
      <c r="J13" s="27" t="s">
        <v>61</v>
      </c>
      <c r="K13" s="31" t="s">
        <v>62</v>
      </c>
      <c r="L13" s="35">
        <v>43362</v>
      </c>
      <c r="M13" s="35">
        <v>43363</v>
      </c>
      <c r="N13" s="31">
        <f>1395.51/2</f>
        <v>697.755</v>
      </c>
      <c r="O13" s="31">
        <f>1395.51/2</f>
        <v>697.755</v>
      </c>
      <c r="P13" s="31">
        <f t="shared" si="0"/>
        <v>697.755</v>
      </c>
      <c r="Q13" s="27">
        <v>4</v>
      </c>
      <c r="R13" s="31">
        <v>120</v>
      </c>
      <c r="S13" s="27">
        <v>0</v>
      </c>
      <c r="T13" s="31">
        <v>0</v>
      </c>
      <c r="U13" s="32">
        <f t="shared" si="1"/>
        <v>480</v>
      </c>
      <c r="V13" s="31">
        <f t="shared" si="2"/>
        <v>1177.7550000000001</v>
      </c>
      <c r="W13" s="31">
        <f t="shared" si="3"/>
        <v>1177.7550000000001</v>
      </c>
      <c r="X13" s="33"/>
    </row>
    <row r="14" spans="1:24" ht="25.5" x14ac:dyDescent="0.2">
      <c r="A14" s="34" t="s">
        <v>229</v>
      </c>
      <c r="B14" s="34" t="s">
        <v>229</v>
      </c>
      <c r="C14" s="27" t="s">
        <v>80</v>
      </c>
      <c r="D14" s="29" t="s">
        <v>104</v>
      </c>
      <c r="E14" s="20" t="s">
        <v>90</v>
      </c>
      <c r="F14" s="34" t="s">
        <v>318</v>
      </c>
      <c r="G14" s="30" t="s">
        <v>31</v>
      </c>
      <c r="H14" s="27" t="s">
        <v>32</v>
      </c>
      <c r="I14" s="27" t="s">
        <v>33</v>
      </c>
      <c r="J14" s="27" t="s">
        <v>61</v>
      </c>
      <c r="K14" s="31" t="s">
        <v>62</v>
      </c>
      <c r="L14" s="35">
        <v>43362</v>
      </c>
      <c r="M14" s="35">
        <v>43363</v>
      </c>
      <c r="N14" s="31">
        <f>1395.51/2</f>
        <v>697.755</v>
      </c>
      <c r="O14" s="31">
        <f>1395.51/2</f>
        <v>697.755</v>
      </c>
      <c r="P14" s="31">
        <f t="shared" si="0"/>
        <v>697.755</v>
      </c>
      <c r="Q14" s="27">
        <v>0</v>
      </c>
      <c r="R14" s="31">
        <v>0</v>
      </c>
      <c r="S14" s="27">
        <v>0</v>
      </c>
      <c r="T14" s="31">
        <v>0</v>
      </c>
      <c r="U14" s="32">
        <f t="shared" si="1"/>
        <v>0</v>
      </c>
      <c r="V14" s="31">
        <f t="shared" si="2"/>
        <v>697.755</v>
      </c>
      <c r="W14" s="31">
        <f t="shared" si="3"/>
        <v>697.755</v>
      </c>
      <c r="X14" s="33"/>
    </row>
    <row r="15" spans="1:24" ht="25.5" x14ac:dyDescent="0.2">
      <c r="A15" s="34" t="s">
        <v>250</v>
      </c>
      <c r="B15" s="34" t="s">
        <v>250</v>
      </c>
      <c r="C15" s="27" t="s">
        <v>223</v>
      </c>
      <c r="D15" s="29" t="s">
        <v>251</v>
      </c>
      <c r="E15" s="20" t="s">
        <v>55</v>
      </c>
      <c r="F15" s="34" t="s">
        <v>83</v>
      </c>
      <c r="G15" s="30" t="s">
        <v>31</v>
      </c>
      <c r="H15" s="27" t="s">
        <v>32</v>
      </c>
      <c r="I15" s="27" t="s">
        <v>33</v>
      </c>
      <c r="J15" s="27" t="s">
        <v>316</v>
      </c>
      <c r="K15" s="31" t="s">
        <v>39</v>
      </c>
      <c r="L15" s="35">
        <v>43356</v>
      </c>
      <c r="M15" s="35">
        <v>43357</v>
      </c>
      <c r="N15" s="31">
        <f>2186.59/2</f>
        <v>1093.2950000000001</v>
      </c>
      <c r="O15" s="31">
        <f>2186.59/2</f>
        <v>1093.2950000000001</v>
      </c>
      <c r="P15" s="31">
        <f t="shared" si="0"/>
        <v>1093.2950000000001</v>
      </c>
      <c r="Q15" s="27">
        <v>0</v>
      </c>
      <c r="R15" s="31">
        <v>0</v>
      </c>
      <c r="S15" s="27">
        <v>0</v>
      </c>
      <c r="T15" s="31">
        <v>0</v>
      </c>
      <c r="U15" s="32">
        <f t="shared" si="1"/>
        <v>0</v>
      </c>
      <c r="V15" s="31">
        <f t="shared" si="2"/>
        <v>1093.2950000000001</v>
      </c>
      <c r="W15" s="31">
        <f t="shared" si="3"/>
        <v>1093.2950000000001</v>
      </c>
      <c r="X15" s="33"/>
    </row>
    <row r="16" spans="1:24" ht="14.25" x14ac:dyDescent="0.2">
      <c r="A16" s="67" t="s">
        <v>250</v>
      </c>
      <c r="B16" s="67" t="s">
        <v>250</v>
      </c>
      <c r="C16" s="69" t="s">
        <v>319</v>
      </c>
      <c r="D16" s="63" t="s">
        <v>324</v>
      </c>
      <c r="E16" s="65" t="s">
        <v>87</v>
      </c>
      <c r="F16" s="67" t="s">
        <v>83</v>
      </c>
      <c r="G16" s="30" t="s">
        <v>31</v>
      </c>
      <c r="H16" s="27" t="s">
        <v>32</v>
      </c>
      <c r="I16" s="27" t="s">
        <v>33</v>
      </c>
      <c r="J16" s="27" t="s">
        <v>316</v>
      </c>
      <c r="K16" s="31" t="s">
        <v>39</v>
      </c>
      <c r="L16" s="77">
        <v>43356</v>
      </c>
      <c r="M16" s="77">
        <v>43357</v>
      </c>
      <c r="N16" s="31">
        <f>1465.14/2</f>
        <v>732.57</v>
      </c>
      <c r="O16" s="31"/>
      <c r="P16" s="73">
        <f>N16+O17</f>
        <v>1465.14</v>
      </c>
      <c r="Q16" s="69">
        <v>2</v>
      </c>
      <c r="R16" s="73">
        <v>120</v>
      </c>
      <c r="S16" s="69">
        <v>0</v>
      </c>
      <c r="T16" s="73">
        <v>0</v>
      </c>
      <c r="U16" s="75">
        <f t="shared" si="1"/>
        <v>240</v>
      </c>
      <c r="V16" s="73">
        <f t="shared" si="2"/>
        <v>1705.14</v>
      </c>
      <c r="W16" s="73">
        <f t="shared" si="3"/>
        <v>1705.14</v>
      </c>
      <c r="X16" s="71"/>
    </row>
    <row r="17" spans="1:24" ht="14.25" x14ac:dyDescent="0.2">
      <c r="A17" s="68"/>
      <c r="B17" s="68"/>
      <c r="C17" s="70"/>
      <c r="D17" s="64"/>
      <c r="E17" s="66"/>
      <c r="F17" s="68"/>
      <c r="G17" s="30" t="s">
        <v>31</v>
      </c>
      <c r="H17" s="27" t="s">
        <v>316</v>
      </c>
      <c r="I17" s="31" t="s">
        <v>39</v>
      </c>
      <c r="J17" s="27" t="s">
        <v>61</v>
      </c>
      <c r="K17" s="31" t="s">
        <v>62</v>
      </c>
      <c r="L17" s="78"/>
      <c r="M17" s="78"/>
      <c r="N17" s="31"/>
      <c r="O17" s="31">
        <f>1465.14/2</f>
        <v>732.57</v>
      </c>
      <c r="P17" s="74"/>
      <c r="Q17" s="70"/>
      <c r="R17" s="74"/>
      <c r="S17" s="70"/>
      <c r="T17" s="74"/>
      <c r="U17" s="76"/>
      <c r="V17" s="74"/>
      <c r="W17" s="74"/>
      <c r="X17" s="72"/>
    </row>
    <row r="18" spans="1:24" ht="38.25" x14ac:dyDescent="0.2">
      <c r="A18" s="34" t="s">
        <v>250</v>
      </c>
      <c r="B18" s="34" t="s">
        <v>322</v>
      </c>
      <c r="C18" s="27" t="s">
        <v>320</v>
      </c>
      <c r="D18" s="29" t="s">
        <v>325</v>
      </c>
      <c r="E18" s="20" t="s">
        <v>328</v>
      </c>
      <c r="F18" s="34" t="s">
        <v>321</v>
      </c>
      <c r="G18" s="30" t="s">
        <v>31</v>
      </c>
      <c r="H18" s="27" t="s">
        <v>32</v>
      </c>
      <c r="I18" s="27" t="s">
        <v>33</v>
      </c>
      <c r="J18" s="27" t="s">
        <v>316</v>
      </c>
      <c r="K18" s="31" t="s">
        <v>39</v>
      </c>
      <c r="L18" s="35">
        <v>43369</v>
      </c>
      <c r="M18" s="35">
        <v>43370</v>
      </c>
      <c r="N18" s="31">
        <f>2190/2</f>
        <v>1095</v>
      </c>
      <c r="O18" s="31">
        <f>2190/2</f>
        <v>1095</v>
      </c>
      <c r="P18" s="31">
        <f t="shared" si="0"/>
        <v>1095</v>
      </c>
      <c r="Q18" s="27">
        <v>4</v>
      </c>
      <c r="R18" s="31">
        <v>120</v>
      </c>
      <c r="S18" s="27">
        <v>0</v>
      </c>
      <c r="T18" s="31">
        <v>0</v>
      </c>
      <c r="U18" s="32">
        <f t="shared" si="1"/>
        <v>480</v>
      </c>
      <c r="V18" s="31">
        <f t="shared" si="2"/>
        <v>1575</v>
      </c>
      <c r="W18" s="31">
        <f t="shared" si="3"/>
        <v>1575</v>
      </c>
      <c r="X18" s="33"/>
    </row>
    <row r="19" spans="1:24" ht="38.25" x14ac:dyDescent="0.2">
      <c r="A19" s="34" t="s">
        <v>250</v>
      </c>
      <c r="B19" s="34" t="s">
        <v>322</v>
      </c>
      <c r="C19" s="27" t="s">
        <v>323</v>
      </c>
      <c r="D19" s="29" t="s">
        <v>326</v>
      </c>
      <c r="E19" s="20" t="s">
        <v>329</v>
      </c>
      <c r="F19" s="34" t="s">
        <v>321</v>
      </c>
      <c r="G19" s="30" t="s">
        <v>31</v>
      </c>
      <c r="H19" s="27" t="s">
        <v>32</v>
      </c>
      <c r="I19" s="27" t="s">
        <v>33</v>
      </c>
      <c r="J19" s="27" t="s">
        <v>316</v>
      </c>
      <c r="K19" s="31" t="s">
        <v>39</v>
      </c>
      <c r="L19" s="35">
        <v>43369</v>
      </c>
      <c r="M19" s="35">
        <v>43370</v>
      </c>
      <c r="N19" s="31">
        <f>2190/2</f>
        <v>1095</v>
      </c>
      <c r="O19" s="31">
        <f>2190/2</f>
        <v>1095</v>
      </c>
      <c r="P19" s="31">
        <f t="shared" si="0"/>
        <v>1095</v>
      </c>
      <c r="Q19" s="27">
        <v>4</v>
      </c>
      <c r="R19" s="31">
        <v>120</v>
      </c>
      <c r="S19" s="27">
        <v>0</v>
      </c>
      <c r="T19" s="31">
        <v>0</v>
      </c>
      <c r="U19" s="32">
        <f t="shared" si="1"/>
        <v>480</v>
      </c>
      <c r="V19" s="31">
        <f t="shared" si="2"/>
        <v>1575</v>
      </c>
      <c r="W19" s="31">
        <f t="shared" si="3"/>
        <v>1575</v>
      </c>
      <c r="X19" s="33"/>
    </row>
  </sheetData>
  <mergeCells count="44">
    <mergeCell ref="X16:X17"/>
    <mergeCell ref="A16:A17"/>
    <mergeCell ref="S16:S17"/>
    <mergeCell ref="T16:T17"/>
    <mergeCell ref="U16:U17"/>
    <mergeCell ref="V16:V17"/>
    <mergeCell ref="W16:W17"/>
    <mergeCell ref="L16:L17"/>
    <mergeCell ref="M16:M17"/>
    <mergeCell ref="P16:P17"/>
    <mergeCell ref="Q16:Q17"/>
    <mergeCell ref="R16:R17"/>
    <mergeCell ref="B16:B17"/>
    <mergeCell ref="C16:C17"/>
    <mergeCell ref="D16:D17"/>
    <mergeCell ref="E16:E17"/>
    <mergeCell ref="F16:F17"/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U8:U9"/>
    <mergeCell ref="V8:V9"/>
    <mergeCell ref="M8:M9"/>
    <mergeCell ref="N8:N9"/>
    <mergeCell ref="P8:P9"/>
    <mergeCell ref="Q8:R8"/>
    <mergeCell ref="S8:T8"/>
  </mergeCells>
  <pageMargins left="0" right="0" top="0.39370078740157505" bottom="0.39370078740157505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topLeftCell="H1" zoomScale="80" zoomScaleNormal="80" workbookViewId="0">
      <selection activeCell="M23" sqref="M23"/>
    </sheetView>
  </sheetViews>
  <sheetFormatPr defaultRowHeight="15" customHeight="1" x14ac:dyDescent="0.2"/>
  <cols>
    <col min="1" max="1" width="19.125" customWidth="1"/>
    <col min="2" max="2" width="28.875" bestFit="1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13.875" bestFit="1" customWidth="1"/>
    <col min="9" max="9" width="16.5" customWidth="1"/>
    <col min="10" max="10" width="4" customWidth="1"/>
    <col min="11" max="11" width="16.75" customWidth="1"/>
    <col min="12" max="12" width="13.875" bestFit="1" customWidth="1"/>
    <col min="13" max="13" width="12.25" customWidth="1"/>
    <col min="14" max="14" width="14" customWidth="1"/>
    <col min="15" max="15" width="14.25" customWidth="1"/>
    <col min="16" max="23" width="18" customWidth="1"/>
    <col min="24" max="24" width="42.5" bestFit="1" customWidth="1"/>
    <col min="25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1" t="s">
        <v>0</v>
      </c>
      <c r="W5" s="51"/>
      <c r="X5" s="8">
        <v>43374</v>
      </c>
    </row>
    <row r="6" spans="1:24" x14ac:dyDescent="0.2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x14ac:dyDescent="0.25">
      <c r="A7" s="52" t="s">
        <v>5</v>
      </c>
      <c r="B7" s="52"/>
      <c r="C7" s="52" t="s">
        <v>6</v>
      </c>
      <c r="D7" s="52"/>
      <c r="E7" s="52"/>
      <c r="F7" s="52" t="s">
        <v>3</v>
      </c>
      <c r="G7" s="52"/>
      <c r="H7" s="52"/>
      <c r="I7" s="52"/>
      <c r="J7" s="52"/>
      <c r="K7" s="52"/>
      <c r="L7" s="52"/>
      <c r="M7" s="52"/>
      <c r="N7" s="52" t="s">
        <v>7</v>
      </c>
      <c r="O7" s="52"/>
      <c r="P7" s="52"/>
      <c r="Q7" s="52" t="s">
        <v>1</v>
      </c>
      <c r="R7" s="52"/>
      <c r="S7" s="52"/>
      <c r="T7" s="52"/>
      <c r="U7" s="52"/>
      <c r="V7" s="52"/>
      <c r="W7" s="52" t="s">
        <v>8</v>
      </c>
      <c r="X7" s="52" t="s">
        <v>9</v>
      </c>
    </row>
    <row r="8" spans="1:24" s="9" customFormat="1" x14ac:dyDescent="0.25">
      <c r="A8" s="53" t="s">
        <v>10</v>
      </c>
      <c r="B8" s="53" t="s">
        <v>11</v>
      </c>
      <c r="C8" s="53" t="s">
        <v>12</v>
      </c>
      <c r="D8" s="53" t="s">
        <v>13</v>
      </c>
      <c r="E8" s="53" t="s">
        <v>14</v>
      </c>
      <c r="F8" s="53" t="s">
        <v>15</v>
      </c>
      <c r="G8" s="53" t="s">
        <v>16</v>
      </c>
      <c r="H8" s="53" t="s">
        <v>17</v>
      </c>
      <c r="I8" s="53"/>
      <c r="J8" s="54" t="s">
        <v>18</v>
      </c>
      <c r="K8" s="54"/>
      <c r="L8" s="53" t="s">
        <v>19</v>
      </c>
      <c r="M8" s="53" t="s">
        <v>20</v>
      </c>
      <c r="N8" s="54" t="s">
        <v>21</v>
      </c>
      <c r="O8" s="54" t="s">
        <v>22</v>
      </c>
      <c r="P8" s="54" t="s">
        <v>23</v>
      </c>
      <c r="Q8" s="54" t="s">
        <v>24</v>
      </c>
      <c r="R8" s="54"/>
      <c r="S8" s="54" t="s">
        <v>25</v>
      </c>
      <c r="T8" s="54"/>
      <c r="U8" s="53" t="s">
        <v>26</v>
      </c>
      <c r="V8" s="54" t="s">
        <v>23</v>
      </c>
      <c r="W8" s="52"/>
      <c r="X8" s="52"/>
    </row>
    <row r="9" spans="1:24" s="9" customFormat="1" ht="17.25" customHeight="1" x14ac:dyDescent="0.25">
      <c r="A9" s="53"/>
      <c r="B9" s="53"/>
      <c r="C9" s="53"/>
      <c r="D9" s="53"/>
      <c r="E9" s="53"/>
      <c r="F9" s="53"/>
      <c r="G9" s="53"/>
      <c r="H9" s="10" t="s">
        <v>27</v>
      </c>
      <c r="I9" s="10" t="s">
        <v>28</v>
      </c>
      <c r="J9" s="10" t="s">
        <v>27</v>
      </c>
      <c r="K9" s="11" t="s">
        <v>29</v>
      </c>
      <c r="L9" s="53"/>
      <c r="M9" s="53"/>
      <c r="N9" s="54"/>
      <c r="O9" s="54"/>
      <c r="P9" s="54"/>
      <c r="Q9" s="10" t="s">
        <v>2</v>
      </c>
      <c r="R9" s="11" t="s">
        <v>30</v>
      </c>
      <c r="S9" s="10" t="s">
        <v>2</v>
      </c>
      <c r="T9" s="11" t="s">
        <v>30</v>
      </c>
      <c r="U9" s="53"/>
      <c r="V9" s="54"/>
      <c r="W9" s="52"/>
      <c r="X9" s="52"/>
    </row>
    <row r="10" spans="1:24" ht="25.5" x14ac:dyDescent="0.2">
      <c r="A10" s="34" t="s">
        <v>250</v>
      </c>
      <c r="B10" s="34" t="s">
        <v>289</v>
      </c>
      <c r="C10" s="50" t="s">
        <v>330</v>
      </c>
      <c r="D10" s="29" t="s">
        <v>357</v>
      </c>
      <c r="E10" s="20" t="s">
        <v>349</v>
      </c>
      <c r="F10" s="34" t="s">
        <v>333</v>
      </c>
      <c r="G10" s="30" t="s">
        <v>31</v>
      </c>
      <c r="H10" s="27" t="s">
        <v>32</v>
      </c>
      <c r="I10" s="27" t="s">
        <v>33</v>
      </c>
      <c r="J10" s="27" t="s">
        <v>331</v>
      </c>
      <c r="K10" s="31" t="s">
        <v>332</v>
      </c>
      <c r="L10" s="35">
        <v>43387</v>
      </c>
      <c r="M10" s="35">
        <v>43392</v>
      </c>
      <c r="N10" s="31">
        <f>2584.59/2</f>
        <v>1292.2950000000001</v>
      </c>
      <c r="O10" s="31">
        <f>2584.59/2</f>
        <v>1292.2950000000001</v>
      </c>
      <c r="P10" s="31">
        <f>SUM(O10:O10)</f>
        <v>1292.2950000000001</v>
      </c>
      <c r="Q10" s="27">
        <v>6</v>
      </c>
      <c r="R10" s="31">
        <v>120</v>
      </c>
      <c r="S10" s="27">
        <v>0</v>
      </c>
      <c r="T10" s="31">
        <v>0</v>
      </c>
      <c r="U10" s="32">
        <f>(Q10*R10)+(S10*T10)</f>
        <v>720</v>
      </c>
      <c r="V10" s="31">
        <f>U10+P10</f>
        <v>2012.2950000000001</v>
      </c>
      <c r="W10" s="31">
        <f>V10</f>
        <v>2012.2950000000001</v>
      </c>
      <c r="X10" s="37"/>
    </row>
    <row r="11" spans="1:24" ht="38.25" x14ac:dyDescent="0.2">
      <c r="A11" s="34" t="s">
        <v>229</v>
      </c>
      <c r="B11" s="34" t="s">
        <v>337</v>
      </c>
      <c r="C11" s="27" t="s">
        <v>64</v>
      </c>
      <c r="D11" s="29" t="s">
        <v>66</v>
      </c>
      <c r="E11" s="20" t="s">
        <v>350</v>
      </c>
      <c r="F11" s="34" t="s">
        <v>336</v>
      </c>
      <c r="G11" s="30" t="s">
        <v>31</v>
      </c>
      <c r="H11" s="27" t="s">
        <v>32</v>
      </c>
      <c r="I11" s="27" t="s">
        <v>33</v>
      </c>
      <c r="J11" s="27" t="s">
        <v>335</v>
      </c>
      <c r="K11" s="31" t="s">
        <v>334</v>
      </c>
      <c r="L11" s="35">
        <v>43395</v>
      </c>
      <c r="M11" s="35">
        <v>43397</v>
      </c>
      <c r="N11" s="31">
        <f>1196.44/2</f>
        <v>598.22</v>
      </c>
      <c r="O11" s="31">
        <f>1196.44/2</f>
        <v>598.22</v>
      </c>
      <c r="P11" s="31">
        <f t="shared" ref="P11:P21" si="0">SUM(O11:O11)</f>
        <v>598.22</v>
      </c>
      <c r="Q11" s="27">
        <v>3</v>
      </c>
      <c r="R11" s="31">
        <v>120</v>
      </c>
      <c r="S11" s="27">
        <v>3</v>
      </c>
      <c r="T11" s="31">
        <v>100</v>
      </c>
      <c r="U11" s="32">
        <f t="shared" ref="U11:U21" si="1">(Q11*R11)+(S11*T11)</f>
        <v>660</v>
      </c>
      <c r="V11" s="31">
        <f t="shared" ref="V11:V21" si="2">U11+P11</f>
        <v>1258.22</v>
      </c>
      <c r="W11" s="31">
        <f t="shared" ref="W11:W21" si="3">V11</f>
        <v>1258.22</v>
      </c>
      <c r="X11" s="33"/>
    </row>
    <row r="12" spans="1:24" ht="25.5" customHeight="1" x14ac:dyDescent="0.2">
      <c r="A12" s="34" t="s">
        <v>229</v>
      </c>
      <c r="B12" s="34" t="s">
        <v>337</v>
      </c>
      <c r="C12" s="27" t="s">
        <v>246</v>
      </c>
      <c r="D12" s="29" t="s">
        <v>263</v>
      </c>
      <c r="E12" s="20" t="s">
        <v>351</v>
      </c>
      <c r="F12" s="34" t="s">
        <v>338</v>
      </c>
      <c r="G12" s="30" t="s">
        <v>31</v>
      </c>
      <c r="H12" s="27" t="s">
        <v>32</v>
      </c>
      <c r="I12" s="27" t="s">
        <v>33</v>
      </c>
      <c r="J12" s="27" t="s">
        <v>38</v>
      </c>
      <c r="K12" s="31" t="s">
        <v>39</v>
      </c>
      <c r="L12" s="35">
        <v>43375</v>
      </c>
      <c r="M12" s="35">
        <v>43378</v>
      </c>
      <c r="N12" s="31">
        <v>803.47</v>
      </c>
      <c r="O12" s="31">
        <v>805.74</v>
      </c>
      <c r="P12" s="31">
        <f t="shared" si="0"/>
        <v>805.74</v>
      </c>
      <c r="Q12" s="27">
        <v>4</v>
      </c>
      <c r="R12" s="31">
        <v>120</v>
      </c>
      <c r="S12" s="27">
        <v>0</v>
      </c>
      <c r="T12" s="31">
        <v>0</v>
      </c>
      <c r="U12" s="32">
        <f t="shared" si="1"/>
        <v>480</v>
      </c>
      <c r="V12" s="31">
        <f t="shared" si="2"/>
        <v>1285.74</v>
      </c>
      <c r="W12" s="31">
        <f t="shared" si="3"/>
        <v>1285.74</v>
      </c>
      <c r="X12" s="33"/>
    </row>
    <row r="13" spans="1:24" ht="25.5" x14ac:dyDescent="0.2">
      <c r="A13" s="34" t="s">
        <v>250</v>
      </c>
      <c r="B13" s="34" t="s">
        <v>250</v>
      </c>
      <c r="C13" s="27" t="s">
        <v>319</v>
      </c>
      <c r="D13" s="29" t="s">
        <v>324</v>
      </c>
      <c r="E13" s="20" t="s">
        <v>352</v>
      </c>
      <c r="F13" s="34" t="s">
        <v>339</v>
      </c>
      <c r="G13" s="30" t="s">
        <v>31</v>
      </c>
      <c r="H13" s="27" t="s">
        <v>32</v>
      </c>
      <c r="I13" s="27" t="s">
        <v>33</v>
      </c>
      <c r="J13" s="27" t="s">
        <v>61</v>
      </c>
      <c r="K13" s="31" t="s">
        <v>62</v>
      </c>
      <c r="L13" s="35">
        <v>43387</v>
      </c>
      <c r="M13" s="35">
        <v>43390</v>
      </c>
      <c r="N13" s="31">
        <f>2360/2</f>
        <v>1180</v>
      </c>
      <c r="O13" s="31">
        <f>2360/2</f>
        <v>1180</v>
      </c>
      <c r="P13" s="31">
        <f t="shared" si="0"/>
        <v>1180</v>
      </c>
      <c r="Q13" s="27">
        <v>4</v>
      </c>
      <c r="R13" s="31">
        <v>120</v>
      </c>
      <c r="S13" s="27">
        <v>0</v>
      </c>
      <c r="T13" s="31">
        <v>0</v>
      </c>
      <c r="U13" s="32">
        <f t="shared" si="1"/>
        <v>480</v>
      </c>
      <c r="V13" s="31">
        <f t="shared" si="2"/>
        <v>1660</v>
      </c>
      <c r="W13" s="31">
        <f t="shared" si="3"/>
        <v>1660</v>
      </c>
      <c r="X13" s="33"/>
    </row>
    <row r="14" spans="1:24" ht="38.25" x14ac:dyDescent="0.2">
      <c r="A14" s="34" t="s">
        <v>250</v>
      </c>
      <c r="B14" s="34" t="s">
        <v>289</v>
      </c>
      <c r="C14" s="27" t="s">
        <v>340</v>
      </c>
      <c r="D14" s="29" t="s">
        <v>360</v>
      </c>
      <c r="E14" s="20" t="s">
        <v>327</v>
      </c>
      <c r="F14" s="34" t="s">
        <v>341</v>
      </c>
      <c r="G14" s="30" t="s">
        <v>31</v>
      </c>
      <c r="H14" s="27" t="s">
        <v>32</v>
      </c>
      <c r="I14" s="27" t="s">
        <v>33</v>
      </c>
      <c r="J14" s="27" t="s">
        <v>331</v>
      </c>
      <c r="K14" s="31" t="s">
        <v>332</v>
      </c>
      <c r="L14" s="35">
        <v>43387</v>
      </c>
      <c r="M14" s="35">
        <v>43392</v>
      </c>
      <c r="N14" s="31">
        <f>2338.19/2</f>
        <v>1169.095</v>
      </c>
      <c r="O14" s="31">
        <f>2338.19/2</f>
        <v>1169.095</v>
      </c>
      <c r="P14" s="31">
        <f t="shared" si="0"/>
        <v>1169.095</v>
      </c>
      <c r="Q14" s="27">
        <v>8</v>
      </c>
      <c r="R14" s="31">
        <v>120</v>
      </c>
      <c r="S14" s="27">
        <v>0</v>
      </c>
      <c r="T14" s="31">
        <v>0</v>
      </c>
      <c r="U14" s="32">
        <f t="shared" si="1"/>
        <v>960</v>
      </c>
      <c r="V14" s="31">
        <f t="shared" si="2"/>
        <v>2129.0950000000003</v>
      </c>
      <c r="W14" s="31">
        <f t="shared" si="3"/>
        <v>2129.0950000000003</v>
      </c>
      <c r="X14" s="33"/>
    </row>
    <row r="15" spans="1:24" ht="38.25" x14ac:dyDescent="0.2">
      <c r="A15" s="34" t="s">
        <v>279</v>
      </c>
      <c r="B15" s="34" t="s">
        <v>272</v>
      </c>
      <c r="C15" s="27" t="s">
        <v>192</v>
      </c>
      <c r="D15" s="29" t="s">
        <v>197</v>
      </c>
      <c r="E15" s="20" t="s">
        <v>353</v>
      </c>
      <c r="F15" s="34" t="s">
        <v>342</v>
      </c>
      <c r="G15" s="30" t="s">
        <v>31</v>
      </c>
      <c r="H15" s="27" t="s">
        <v>32</v>
      </c>
      <c r="I15" s="27" t="s">
        <v>33</v>
      </c>
      <c r="J15" s="27" t="s">
        <v>38</v>
      </c>
      <c r="K15" s="31" t="s">
        <v>39</v>
      </c>
      <c r="L15" s="35">
        <v>43402</v>
      </c>
      <c r="M15" s="35">
        <v>43403</v>
      </c>
      <c r="N15" s="31">
        <f>1157.22/2</f>
        <v>578.61</v>
      </c>
      <c r="O15" s="31">
        <f>1157.22/2</f>
        <v>578.61</v>
      </c>
      <c r="P15" s="31">
        <f t="shared" si="0"/>
        <v>578.61</v>
      </c>
      <c r="Q15" s="27">
        <v>3</v>
      </c>
      <c r="R15" s="31">
        <v>120</v>
      </c>
      <c r="S15" s="27">
        <v>0</v>
      </c>
      <c r="T15" s="31">
        <v>0</v>
      </c>
      <c r="U15" s="32">
        <f t="shared" si="1"/>
        <v>360</v>
      </c>
      <c r="V15" s="31">
        <f t="shared" si="2"/>
        <v>938.61</v>
      </c>
      <c r="W15" s="31">
        <f t="shared" si="3"/>
        <v>938.61</v>
      </c>
      <c r="X15" s="33"/>
    </row>
    <row r="16" spans="1:24" ht="25.5" x14ac:dyDescent="0.2">
      <c r="A16" s="34" t="s">
        <v>250</v>
      </c>
      <c r="B16" s="34" t="s">
        <v>322</v>
      </c>
      <c r="C16" s="27" t="s">
        <v>343</v>
      </c>
      <c r="D16" s="29" t="s">
        <v>358</v>
      </c>
      <c r="E16" s="20" t="s">
        <v>354</v>
      </c>
      <c r="F16" s="34" t="s">
        <v>345</v>
      </c>
      <c r="G16" s="30" t="s">
        <v>31</v>
      </c>
      <c r="H16" s="27" t="s">
        <v>32</v>
      </c>
      <c r="I16" s="27" t="s">
        <v>33</v>
      </c>
      <c r="J16" s="27" t="s">
        <v>111</v>
      </c>
      <c r="K16" s="31" t="s">
        <v>112</v>
      </c>
      <c r="L16" s="35">
        <v>43399</v>
      </c>
      <c r="M16" s="35">
        <v>43399</v>
      </c>
      <c r="N16" s="31">
        <f>870.84/2</f>
        <v>435.42</v>
      </c>
      <c r="O16" s="31">
        <f>870.84/2</f>
        <v>435.42</v>
      </c>
      <c r="P16" s="31">
        <f t="shared" si="0"/>
        <v>435.42</v>
      </c>
      <c r="Q16" s="27">
        <v>1</v>
      </c>
      <c r="R16" s="31">
        <v>120</v>
      </c>
      <c r="S16" s="27">
        <v>2</v>
      </c>
      <c r="T16" s="31">
        <v>100</v>
      </c>
      <c r="U16" s="32">
        <f t="shared" si="1"/>
        <v>320</v>
      </c>
      <c r="V16" s="31">
        <f t="shared" si="2"/>
        <v>755.42000000000007</v>
      </c>
      <c r="W16" s="31">
        <f t="shared" si="3"/>
        <v>755.42000000000007</v>
      </c>
      <c r="X16" s="33"/>
    </row>
    <row r="17" spans="1:24" ht="51" x14ac:dyDescent="0.2">
      <c r="A17" s="34" t="s">
        <v>250</v>
      </c>
      <c r="B17" s="34" t="s">
        <v>322</v>
      </c>
      <c r="C17" s="27" t="s">
        <v>344</v>
      </c>
      <c r="D17" s="29" t="s">
        <v>359</v>
      </c>
      <c r="E17" s="20" t="s">
        <v>355</v>
      </c>
      <c r="F17" s="34" t="s">
        <v>345</v>
      </c>
      <c r="G17" s="30" t="s">
        <v>31</v>
      </c>
      <c r="H17" s="27" t="s">
        <v>32</v>
      </c>
      <c r="I17" s="27" t="s">
        <v>33</v>
      </c>
      <c r="J17" s="27" t="s">
        <v>111</v>
      </c>
      <c r="K17" s="31" t="s">
        <v>112</v>
      </c>
      <c r="L17" s="35">
        <v>43399</v>
      </c>
      <c r="M17" s="35">
        <v>43399</v>
      </c>
      <c r="N17" s="31">
        <f>870.84/2</f>
        <v>435.42</v>
      </c>
      <c r="O17" s="31">
        <f>870.84/2</f>
        <v>435.42</v>
      </c>
      <c r="P17" s="31">
        <f t="shared" si="0"/>
        <v>435.42</v>
      </c>
      <c r="Q17" s="27">
        <v>1</v>
      </c>
      <c r="R17" s="31">
        <v>120</v>
      </c>
      <c r="S17" s="27">
        <v>2</v>
      </c>
      <c r="T17" s="31">
        <v>100</v>
      </c>
      <c r="U17" s="32">
        <f t="shared" si="1"/>
        <v>320</v>
      </c>
      <c r="V17" s="31">
        <f t="shared" si="2"/>
        <v>755.42000000000007</v>
      </c>
      <c r="W17" s="31">
        <f t="shared" si="3"/>
        <v>755.42000000000007</v>
      </c>
      <c r="X17" s="33"/>
    </row>
    <row r="18" spans="1:24" ht="25.5" customHeight="1" x14ac:dyDescent="0.2">
      <c r="A18" s="34" t="s">
        <v>250</v>
      </c>
      <c r="B18" s="34" t="s">
        <v>212</v>
      </c>
      <c r="C18" s="27" t="s">
        <v>330</v>
      </c>
      <c r="D18" s="29" t="s">
        <v>357</v>
      </c>
      <c r="E18" s="20" t="s">
        <v>349</v>
      </c>
      <c r="F18" s="34" t="s">
        <v>342</v>
      </c>
      <c r="G18" s="30" t="s">
        <v>31</v>
      </c>
      <c r="H18" s="27" t="s">
        <v>32</v>
      </c>
      <c r="I18" s="27" t="s">
        <v>33</v>
      </c>
      <c r="J18" s="27" t="s">
        <v>38</v>
      </c>
      <c r="K18" s="31" t="s">
        <v>39</v>
      </c>
      <c r="L18" s="35">
        <v>43402</v>
      </c>
      <c r="M18" s="35">
        <v>43403</v>
      </c>
      <c r="N18" s="31">
        <f>1157.21/2</f>
        <v>578.60500000000002</v>
      </c>
      <c r="O18" s="31">
        <f>1157.21/2</f>
        <v>578.60500000000002</v>
      </c>
      <c r="P18" s="31">
        <f t="shared" si="0"/>
        <v>578.60500000000002</v>
      </c>
      <c r="Q18" s="27">
        <v>2</v>
      </c>
      <c r="R18" s="31">
        <v>120</v>
      </c>
      <c r="S18" s="27">
        <v>0</v>
      </c>
      <c r="T18" s="31">
        <v>0</v>
      </c>
      <c r="U18" s="32">
        <f t="shared" si="1"/>
        <v>240</v>
      </c>
      <c r="V18" s="31">
        <f t="shared" si="2"/>
        <v>818.60500000000002</v>
      </c>
      <c r="W18" s="31">
        <f t="shared" si="3"/>
        <v>818.60500000000002</v>
      </c>
      <c r="X18" s="33"/>
    </row>
    <row r="19" spans="1:24" ht="25.5" x14ac:dyDescent="0.2">
      <c r="A19" s="34" t="s">
        <v>229</v>
      </c>
      <c r="B19" s="34" t="s">
        <v>229</v>
      </c>
      <c r="C19" s="27" t="s">
        <v>80</v>
      </c>
      <c r="D19" s="29" t="s">
        <v>104</v>
      </c>
      <c r="E19" s="20" t="s">
        <v>90</v>
      </c>
      <c r="F19" s="34" t="s">
        <v>346</v>
      </c>
      <c r="G19" s="30" t="s">
        <v>31</v>
      </c>
      <c r="H19" s="27" t="s">
        <v>32</v>
      </c>
      <c r="I19" s="27" t="s">
        <v>33</v>
      </c>
      <c r="J19" s="27" t="s">
        <v>38</v>
      </c>
      <c r="K19" s="31" t="s">
        <v>39</v>
      </c>
      <c r="L19" s="35">
        <v>43390</v>
      </c>
      <c r="M19" s="35">
        <v>43391</v>
      </c>
      <c r="N19" s="31">
        <f>2921.39/2</f>
        <v>1460.6949999999999</v>
      </c>
      <c r="O19" s="31">
        <f>2921.39/2</f>
        <v>1460.6949999999999</v>
      </c>
      <c r="P19" s="31">
        <f t="shared" si="0"/>
        <v>1460.6949999999999</v>
      </c>
      <c r="Q19" s="27">
        <v>0</v>
      </c>
      <c r="R19" s="31">
        <v>0</v>
      </c>
      <c r="S19" s="27">
        <v>0</v>
      </c>
      <c r="T19" s="31">
        <v>0</v>
      </c>
      <c r="U19" s="32">
        <f t="shared" si="1"/>
        <v>0</v>
      </c>
      <c r="V19" s="31">
        <f t="shared" si="2"/>
        <v>1460.6949999999999</v>
      </c>
      <c r="W19" s="31">
        <f t="shared" si="3"/>
        <v>1460.6949999999999</v>
      </c>
      <c r="X19" s="33"/>
    </row>
    <row r="20" spans="1:24" ht="38.25" x14ac:dyDescent="0.2">
      <c r="A20" s="34" t="s">
        <v>279</v>
      </c>
      <c r="B20" s="34" t="s">
        <v>279</v>
      </c>
      <c r="C20" s="27" t="s">
        <v>75</v>
      </c>
      <c r="D20" s="29" t="s">
        <v>104</v>
      </c>
      <c r="E20" s="20" t="s">
        <v>88</v>
      </c>
      <c r="F20" s="34" t="s">
        <v>347</v>
      </c>
      <c r="G20" s="30" t="s">
        <v>31</v>
      </c>
      <c r="H20" s="27" t="s">
        <v>32</v>
      </c>
      <c r="I20" s="27" t="s">
        <v>33</v>
      </c>
      <c r="J20" s="27" t="s">
        <v>61</v>
      </c>
      <c r="K20" s="31" t="s">
        <v>62</v>
      </c>
      <c r="L20" s="35">
        <v>43397</v>
      </c>
      <c r="M20" s="35">
        <v>43398</v>
      </c>
      <c r="N20" s="31">
        <f>1301.43/2</f>
        <v>650.71500000000003</v>
      </c>
      <c r="O20" s="31">
        <f>1301.43/2</f>
        <v>650.71500000000003</v>
      </c>
      <c r="P20" s="31">
        <f t="shared" si="0"/>
        <v>650.71500000000003</v>
      </c>
      <c r="Q20" s="27">
        <v>0</v>
      </c>
      <c r="R20" s="31">
        <v>0</v>
      </c>
      <c r="S20" s="27">
        <v>0</v>
      </c>
      <c r="T20" s="31">
        <v>0</v>
      </c>
      <c r="U20" s="32">
        <f t="shared" si="1"/>
        <v>0</v>
      </c>
      <c r="V20" s="31">
        <f t="shared" si="2"/>
        <v>650.71500000000003</v>
      </c>
      <c r="W20" s="31">
        <f t="shared" si="3"/>
        <v>650.71500000000003</v>
      </c>
      <c r="X20" s="33"/>
    </row>
    <row r="21" spans="1:24" ht="38.25" x14ac:dyDescent="0.2">
      <c r="A21" s="34" t="s">
        <v>279</v>
      </c>
      <c r="B21" s="34" t="s">
        <v>225</v>
      </c>
      <c r="C21" s="27" t="s">
        <v>42</v>
      </c>
      <c r="D21" s="29" t="s">
        <v>68</v>
      </c>
      <c r="E21" s="20" t="s">
        <v>356</v>
      </c>
      <c r="F21" s="34" t="s">
        <v>348</v>
      </c>
      <c r="G21" s="30" t="s">
        <v>31</v>
      </c>
      <c r="H21" s="27" t="s">
        <v>32</v>
      </c>
      <c r="I21" s="27" t="s">
        <v>33</v>
      </c>
      <c r="J21" s="27" t="s">
        <v>38</v>
      </c>
      <c r="K21" s="31" t="s">
        <v>39</v>
      </c>
      <c r="L21" s="35">
        <v>43402</v>
      </c>
      <c r="M21" s="35">
        <v>43405</v>
      </c>
      <c r="N21" s="31">
        <f>1629.46/2</f>
        <v>814.73</v>
      </c>
      <c r="O21" s="31">
        <f>1629.46/2</f>
        <v>814.73</v>
      </c>
      <c r="P21" s="31">
        <f t="shared" si="0"/>
        <v>814.73</v>
      </c>
      <c r="Q21" s="27">
        <v>7</v>
      </c>
      <c r="R21" s="31">
        <v>120</v>
      </c>
      <c r="S21" s="27">
        <v>0</v>
      </c>
      <c r="T21" s="31">
        <v>0</v>
      </c>
      <c r="U21" s="32">
        <f t="shared" si="1"/>
        <v>840</v>
      </c>
      <c r="V21" s="31">
        <f t="shared" si="2"/>
        <v>1654.73</v>
      </c>
      <c r="W21" s="31">
        <f t="shared" si="3"/>
        <v>1654.73</v>
      </c>
      <c r="X21" s="33"/>
    </row>
  </sheetData>
  <mergeCells count="27">
    <mergeCell ref="V8:V9"/>
    <mergeCell ref="N8:N9"/>
    <mergeCell ref="P8:P9"/>
    <mergeCell ref="Q8:R8"/>
    <mergeCell ref="S8:T8"/>
    <mergeCell ref="U8:U9"/>
    <mergeCell ref="G8:G9"/>
    <mergeCell ref="H8:I8"/>
    <mergeCell ref="J8:K8"/>
    <mergeCell ref="L8:L9"/>
    <mergeCell ref="M8:M9"/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</mergeCells>
  <pageMargins left="0" right="0" top="0.39370078740157505" bottom="0.39370078740157505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E12" sqref="E12"/>
    </sheetView>
  </sheetViews>
  <sheetFormatPr defaultRowHeight="15" customHeight="1" x14ac:dyDescent="0.2"/>
  <cols>
    <col min="1" max="1" width="8.625" customWidth="1"/>
    <col min="2" max="2" width="10.75" customWidth="1"/>
    <col min="3" max="3" width="44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1" t="s">
        <v>0</v>
      </c>
      <c r="W5" s="51"/>
      <c r="X5" s="8">
        <v>42948</v>
      </c>
    </row>
    <row r="6" spans="1:24" x14ac:dyDescent="0.2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x14ac:dyDescent="0.25">
      <c r="A7" s="52" t="s">
        <v>5</v>
      </c>
      <c r="B7" s="52"/>
      <c r="C7" s="52" t="s">
        <v>6</v>
      </c>
      <c r="D7" s="52"/>
      <c r="E7" s="52"/>
      <c r="F7" s="52" t="s">
        <v>3</v>
      </c>
      <c r="G7" s="52"/>
      <c r="H7" s="52"/>
      <c r="I7" s="52"/>
      <c r="J7" s="52"/>
      <c r="K7" s="52"/>
      <c r="L7" s="52"/>
      <c r="M7" s="52"/>
      <c r="N7" s="52" t="s">
        <v>7</v>
      </c>
      <c r="O7" s="52"/>
      <c r="P7" s="52"/>
      <c r="Q7" s="52" t="s">
        <v>1</v>
      </c>
      <c r="R7" s="52"/>
      <c r="S7" s="52"/>
      <c r="T7" s="52"/>
      <c r="U7" s="52"/>
      <c r="V7" s="52"/>
      <c r="W7" s="52" t="s">
        <v>8</v>
      </c>
      <c r="X7" s="52" t="s">
        <v>9</v>
      </c>
    </row>
    <row r="8" spans="1:24" s="9" customFormat="1" x14ac:dyDescent="0.25">
      <c r="A8" s="53" t="s">
        <v>10</v>
      </c>
      <c r="B8" s="53" t="s">
        <v>11</v>
      </c>
      <c r="C8" s="53" t="s">
        <v>12</v>
      </c>
      <c r="D8" s="53" t="s">
        <v>13</v>
      </c>
      <c r="E8" s="53" t="s">
        <v>14</v>
      </c>
      <c r="F8" s="53" t="s">
        <v>15</v>
      </c>
      <c r="G8" s="53" t="s">
        <v>16</v>
      </c>
      <c r="H8" s="53" t="s">
        <v>17</v>
      </c>
      <c r="I8" s="53"/>
      <c r="J8" s="54" t="s">
        <v>18</v>
      </c>
      <c r="K8" s="54"/>
      <c r="L8" s="53" t="s">
        <v>19</v>
      </c>
      <c r="M8" s="53" t="s">
        <v>20</v>
      </c>
      <c r="N8" s="54" t="s">
        <v>21</v>
      </c>
      <c r="O8" s="54" t="s">
        <v>22</v>
      </c>
      <c r="P8" s="54" t="s">
        <v>23</v>
      </c>
      <c r="Q8" s="54" t="s">
        <v>24</v>
      </c>
      <c r="R8" s="54"/>
      <c r="S8" s="54" t="s">
        <v>25</v>
      </c>
      <c r="T8" s="54"/>
      <c r="U8" s="53" t="s">
        <v>26</v>
      </c>
      <c r="V8" s="54" t="s">
        <v>23</v>
      </c>
      <c r="W8" s="52"/>
      <c r="X8" s="52"/>
    </row>
    <row r="9" spans="1:24" s="9" customFormat="1" x14ac:dyDescent="0.25">
      <c r="A9" s="53"/>
      <c r="B9" s="53"/>
      <c r="C9" s="53"/>
      <c r="D9" s="53"/>
      <c r="E9" s="53"/>
      <c r="F9" s="53"/>
      <c r="G9" s="53"/>
      <c r="H9" s="10" t="s">
        <v>27</v>
      </c>
      <c r="I9" s="10" t="s">
        <v>28</v>
      </c>
      <c r="J9" s="10" t="s">
        <v>27</v>
      </c>
      <c r="K9" s="11" t="s">
        <v>29</v>
      </c>
      <c r="L9" s="53"/>
      <c r="M9" s="53"/>
      <c r="N9" s="54"/>
      <c r="O9" s="54"/>
      <c r="P9" s="54"/>
      <c r="Q9" s="10" t="s">
        <v>2</v>
      </c>
      <c r="R9" s="11" t="s">
        <v>30</v>
      </c>
      <c r="S9" s="10" t="s">
        <v>2</v>
      </c>
      <c r="T9" s="11" t="s">
        <v>30</v>
      </c>
      <c r="U9" s="53"/>
      <c r="V9" s="54"/>
      <c r="W9" s="52"/>
      <c r="X9" s="52"/>
    </row>
    <row r="10" spans="1:24" ht="38.25" x14ac:dyDescent="0.2">
      <c r="A10" s="19" t="s">
        <v>49</v>
      </c>
      <c r="B10" s="19" t="s">
        <v>60</v>
      </c>
      <c r="C10" s="19" t="s">
        <v>58</v>
      </c>
      <c r="D10" s="26" t="s">
        <v>59</v>
      </c>
      <c r="E10" s="20" t="s">
        <v>84</v>
      </c>
      <c r="F10" s="14" t="s">
        <v>63</v>
      </c>
      <c r="G10" s="21" t="s">
        <v>31</v>
      </c>
      <c r="H10" s="19" t="s">
        <v>32</v>
      </c>
      <c r="I10" s="19" t="s">
        <v>33</v>
      </c>
      <c r="J10" s="19" t="s">
        <v>61</v>
      </c>
      <c r="K10" s="22" t="s">
        <v>62</v>
      </c>
      <c r="L10" s="23">
        <v>42962</v>
      </c>
      <c r="M10" s="23">
        <v>42963</v>
      </c>
      <c r="N10" s="22">
        <f>931.88/2</f>
        <v>465.94</v>
      </c>
      <c r="O10" s="22">
        <f>931.88/2</f>
        <v>465.94</v>
      </c>
      <c r="P10" s="22">
        <f>N10+O10</f>
        <v>931.88</v>
      </c>
      <c r="Q10" s="19">
        <v>4</v>
      </c>
      <c r="R10" s="22">
        <v>120</v>
      </c>
      <c r="S10" s="19"/>
      <c r="T10" s="22"/>
      <c r="U10" s="24">
        <f>(Q10*R10)+(S10*T10)</f>
        <v>480</v>
      </c>
      <c r="V10" s="22">
        <f>P10+U10</f>
        <v>1411.88</v>
      </c>
      <c r="W10" s="22">
        <f>V10</f>
        <v>1411.88</v>
      </c>
      <c r="X10" s="12"/>
    </row>
    <row r="11" spans="1:24" ht="25.5" x14ac:dyDescent="0.2">
      <c r="A11" s="19" t="s">
        <v>49</v>
      </c>
      <c r="B11" s="12" t="s">
        <v>65</v>
      </c>
      <c r="C11" s="12" t="s">
        <v>64</v>
      </c>
      <c r="D11" s="26" t="s">
        <v>66</v>
      </c>
      <c r="E11" s="14" t="s">
        <v>85</v>
      </c>
      <c r="F11" s="14" t="s">
        <v>67</v>
      </c>
      <c r="G11" s="21" t="s">
        <v>31</v>
      </c>
      <c r="H11" s="19" t="s">
        <v>32</v>
      </c>
      <c r="I11" s="19" t="s">
        <v>33</v>
      </c>
      <c r="J11" s="19" t="s">
        <v>38</v>
      </c>
      <c r="K11" s="22" t="s">
        <v>39</v>
      </c>
      <c r="L11" s="16">
        <v>42960</v>
      </c>
      <c r="M11" s="16">
        <v>42963</v>
      </c>
      <c r="N11" s="22">
        <f>888.12/2</f>
        <v>444.06</v>
      </c>
      <c r="O11" s="22">
        <f>888.12/2</f>
        <v>444.06</v>
      </c>
      <c r="P11" s="22">
        <f t="shared" ref="P11:P22" si="0">N11+O11</f>
        <v>888.12</v>
      </c>
      <c r="Q11" s="19">
        <v>4</v>
      </c>
      <c r="R11" s="22">
        <v>120</v>
      </c>
      <c r="S11" s="12">
        <v>3</v>
      </c>
      <c r="T11" s="15">
        <v>100</v>
      </c>
      <c r="U11" s="24">
        <f>(Q11*R11)+(S11*T11)</f>
        <v>780</v>
      </c>
      <c r="V11" s="22">
        <f>P11+U11</f>
        <v>1668.12</v>
      </c>
      <c r="W11" s="22">
        <f>V11</f>
        <v>1668.12</v>
      </c>
      <c r="X11" s="12"/>
    </row>
    <row r="12" spans="1:24" ht="38.25" x14ac:dyDescent="0.2">
      <c r="A12" s="12" t="s">
        <v>44</v>
      </c>
      <c r="B12" s="12" t="s">
        <v>45</v>
      </c>
      <c r="C12" s="14" t="s">
        <v>42</v>
      </c>
      <c r="D12" s="26" t="s">
        <v>68</v>
      </c>
      <c r="E12" s="14" t="s">
        <v>54</v>
      </c>
      <c r="F12" s="14" t="s">
        <v>69</v>
      </c>
      <c r="G12" s="21" t="s">
        <v>31</v>
      </c>
      <c r="H12" s="19" t="s">
        <v>32</v>
      </c>
      <c r="I12" s="19" t="s">
        <v>33</v>
      </c>
      <c r="J12" s="19" t="s">
        <v>38</v>
      </c>
      <c r="K12" s="22" t="s">
        <v>39</v>
      </c>
      <c r="L12" s="16">
        <v>42962</v>
      </c>
      <c r="M12" s="16">
        <v>42965</v>
      </c>
      <c r="N12" s="22">
        <f>602.42/2</f>
        <v>301.20999999999998</v>
      </c>
      <c r="O12" s="22">
        <f>602.42/2</f>
        <v>301.20999999999998</v>
      </c>
      <c r="P12" s="22">
        <f t="shared" si="0"/>
        <v>602.41999999999996</v>
      </c>
      <c r="Q12" s="19">
        <v>7</v>
      </c>
      <c r="R12" s="22">
        <v>120</v>
      </c>
      <c r="S12" s="12"/>
      <c r="T12" s="15"/>
      <c r="U12" s="24">
        <f t="shared" ref="U12:U22" si="1">(Q12*R12)+(S12*T12)</f>
        <v>840</v>
      </c>
      <c r="V12" s="22">
        <f t="shared" ref="V12:V22" si="2">P12+U12</f>
        <v>1442.42</v>
      </c>
      <c r="W12" s="22">
        <f t="shared" ref="W12:W22" si="3">V12</f>
        <v>1442.42</v>
      </c>
      <c r="X12" s="12"/>
    </row>
    <row r="13" spans="1:24" ht="38.25" x14ac:dyDescent="0.2">
      <c r="A13" s="19" t="s">
        <v>49</v>
      </c>
      <c r="B13" s="12" t="s">
        <v>65</v>
      </c>
      <c r="C13" s="12" t="s">
        <v>70</v>
      </c>
      <c r="D13" s="26" t="s">
        <v>71</v>
      </c>
      <c r="E13" s="14" t="s">
        <v>86</v>
      </c>
      <c r="F13" s="14" t="s">
        <v>67</v>
      </c>
      <c r="G13" s="21" t="s">
        <v>31</v>
      </c>
      <c r="H13" s="19" t="s">
        <v>32</v>
      </c>
      <c r="I13" s="19" t="s">
        <v>33</v>
      </c>
      <c r="J13" s="19" t="s">
        <v>38</v>
      </c>
      <c r="K13" s="22" t="s">
        <v>39</v>
      </c>
      <c r="L13" s="16">
        <v>42960</v>
      </c>
      <c r="M13" s="16">
        <v>42963</v>
      </c>
      <c r="N13" s="22">
        <f>888.12/2</f>
        <v>444.06</v>
      </c>
      <c r="O13" s="22">
        <f>888.12/2</f>
        <v>444.06</v>
      </c>
      <c r="P13" s="22">
        <f t="shared" si="0"/>
        <v>888.12</v>
      </c>
      <c r="Q13" s="19">
        <v>4</v>
      </c>
      <c r="R13" s="22">
        <v>120</v>
      </c>
      <c r="S13" s="18">
        <v>3</v>
      </c>
      <c r="T13" s="15">
        <v>100</v>
      </c>
      <c r="U13" s="24">
        <f t="shared" si="1"/>
        <v>780</v>
      </c>
      <c r="V13" s="22">
        <f t="shared" si="2"/>
        <v>1668.12</v>
      </c>
      <c r="W13" s="22">
        <f t="shared" si="3"/>
        <v>1668.12</v>
      </c>
      <c r="X13" s="18"/>
    </row>
    <row r="14" spans="1:24" ht="25.5" x14ac:dyDescent="0.2">
      <c r="A14" s="12" t="s">
        <v>34</v>
      </c>
      <c r="B14" s="12" t="s">
        <v>35</v>
      </c>
      <c r="C14" s="12" t="s">
        <v>36</v>
      </c>
      <c r="D14" s="26" t="s">
        <v>57</v>
      </c>
      <c r="E14" s="14" t="s">
        <v>52</v>
      </c>
      <c r="F14" s="14" t="s">
        <v>73</v>
      </c>
      <c r="G14" s="21" t="s">
        <v>31</v>
      </c>
      <c r="H14" s="19" t="s">
        <v>32</v>
      </c>
      <c r="I14" s="19" t="s">
        <v>33</v>
      </c>
      <c r="J14" s="19" t="s">
        <v>38</v>
      </c>
      <c r="K14" s="22" t="s">
        <v>39</v>
      </c>
      <c r="L14" s="16">
        <v>42954</v>
      </c>
      <c r="M14" s="16">
        <v>42957</v>
      </c>
      <c r="N14" s="22">
        <f>928.2/2</f>
        <v>464.1</v>
      </c>
      <c r="O14" s="22">
        <f>928.2/2</f>
        <v>464.1</v>
      </c>
      <c r="P14" s="22">
        <f t="shared" si="0"/>
        <v>928.2</v>
      </c>
      <c r="Q14" s="19">
        <v>4</v>
      </c>
      <c r="R14" s="22">
        <v>120</v>
      </c>
      <c r="S14" s="18"/>
      <c r="T14" s="15"/>
      <c r="U14" s="24">
        <f t="shared" si="1"/>
        <v>480</v>
      </c>
      <c r="V14" s="22">
        <f t="shared" si="2"/>
        <v>1408.2</v>
      </c>
      <c r="W14" s="22">
        <f t="shared" si="3"/>
        <v>1408.2</v>
      </c>
      <c r="X14" s="18"/>
    </row>
    <row r="15" spans="1:24" ht="25.5" x14ac:dyDescent="0.2">
      <c r="A15" s="12" t="s">
        <v>44</v>
      </c>
      <c r="B15" s="12" t="s">
        <v>44</v>
      </c>
      <c r="C15" s="12" t="s">
        <v>72</v>
      </c>
      <c r="D15" s="26" t="s">
        <v>74</v>
      </c>
      <c r="E15" s="14" t="s">
        <v>87</v>
      </c>
      <c r="F15" s="14" t="s">
        <v>73</v>
      </c>
      <c r="G15" s="21" t="s">
        <v>31</v>
      </c>
      <c r="H15" s="19" t="s">
        <v>32</v>
      </c>
      <c r="I15" s="19" t="s">
        <v>33</v>
      </c>
      <c r="J15" s="19" t="s">
        <v>38</v>
      </c>
      <c r="K15" s="22" t="s">
        <v>39</v>
      </c>
      <c r="L15" s="16">
        <v>42962</v>
      </c>
      <c r="M15" s="16">
        <v>42963</v>
      </c>
      <c r="N15" s="22">
        <f>602.42/2</f>
        <v>301.20999999999998</v>
      </c>
      <c r="O15" s="22">
        <f>602.42/2</f>
        <v>301.20999999999998</v>
      </c>
      <c r="P15" s="22">
        <f t="shared" si="0"/>
        <v>602.41999999999996</v>
      </c>
      <c r="Q15" s="19">
        <v>2</v>
      </c>
      <c r="R15" s="22">
        <v>120</v>
      </c>
      <c r="S15" s="18"/>
      <c r="T15" s="15"/>
      <c r="U15" s="24">
        <f t="shared" si="1"/>
        <v>240</v>
      </c>
      <c r="V15" s="22">
        <f t="shared" si="2"/>
        <v>842.42</v>
      </c>
      <c r="W15" s="22">
        <f t="shared" si="3"/>
        <v>842.42</v>
      </c>
      <c r="X15" s="18"/>
    </row>
    <row r="16" spans="1:24" ht="25.5" x14ac:dyDescent="0.2">
      <c r="A16" s="12" t="s">
        <v>34</v>
      </c>
      <c r="B16" s="12" t="s">
        <v>34</v>
      </c>
      <c r="C16" s="12" t="s">
        <v>46</v>
      </c>
      <c r="D16" s="26" t="s">
        <v>74</v>
      </c>
      <c r="E16" s="14" t="s">
        <v>55</v>
      </c>
      <c r="F16" s="14" t="s">
        <v>73</v>
      </c>
      <c r="G16" s="21" t="s">
        <v>31</v>
      </c>
      <c r="H16" s="19" t="s">
        <v>32</v>
      </c>
      <c r="I16" s="19" t="s">
        <v>33</v>
      </c>
      <c r="J16" s="19" t="s">
        <v>38</v>
      </c>
      <c r="K16" s="22" t="s">
        <v>39</v>
      </c>
      <c r="L16" s="16">
        <v>42970</v>
      </c>
      <c r="M16" s="16">
        <v>42972</v>
      </c>
      <c r="N16" s="22">
        <f>562.67/2</f>
        <v>281.33499999999998</v>
      </c>
      <c r="O16" s="22">
        <f>562.67/2</f>
        <v>281.33499999999998</v>
      </c>
      <c r="P16" s="22">
        <f t="shared" si="0"/>
        <v>562.66999999999996</v>
      </c>
      <c r="Q16" s="19"/>
      <c r="R16" s="22"/>
      <c r="S16" s="18"/>
      <c r="T16" s="15"/>
      <c r="U16" s="24">
        <f t="shared" si="1"/>
        <v>0</v>
      </c>
      <c r="V16" s="22">
        <f>P16+U16</f>
        <v>562.66999999999996</v>
      </c>
      <c r="W16" s="22">
        <f t="shared" si="3"/>
        <v>562.66999999999996</v>
      </c>
      <c r="X16" s="18"/>
    </row>
    <row r="17" spans="1:24" ht="38.25" x14ac:dyDescent="0.2">
      <c r="A17" s="12" t="s">
        <v>44</v>
      </c>
      <c r="B17" s="12" t="s">
        <v>44</v>
      </c>
      <c r="C17" s="12" t="s">
        <v>75</v>
      </c>
      <c r="D17" s="26" t="s">
        <v>74</v>
      </c>
      <c r="E17" s="14" t="s">
        <v>88</v>
      </c>
      <c r="F17" s="14" t="s">
        <v>73</v>
      </c>
      <c r="G17" s="21" t="s">
        <v>31</v>
      </c>
      <c r="H17" s="19" t="s">
        <v>32</v>
      </c>
      <c r="I17" s="19" t="s">
        <v>33</v>
      </c>
      <c r="J17" s="19" t="s">
        <v>38</v>
      </c>
      <c r="K17" s="22" t="s">
        <v>39</v>
      </c>
      <c r="L17" s="16">
        <v>42969</v>
      </c>
      <c r="M17" s="16">
        <v>42970</v>
      </c>
      <c r="N17" s="22">
        <f>722.21/2</f>
        <v>361.10500000000002</v>
      </c>
      <c r="O17" s="22">
        <f>722.21/2</f>
        <v>361.10500000000002</v>
      </c>
      <c r="P17" s="22">
        <f t="shared" si="0"/>
        <v>722.21</v>
      </c>
      <c r="Q17" s="19"/>
      <c r="R17" s="22"/>
      <c r="S17" s="18"/>
      <c r="T17" s="15"/>
      <c r="U17" s="24">
        <f t="shared" si="1"/>
        <v>0</v>
      </c>
      <c r="V17" s="22">
        <f t="shared" si="2"/>
        <v>722.21</v>
      </c>
      <c r="W17" s="22">
        <f t="shared" si="3"/>
        <v>722.21</v>
      </c>
      <c r="X17" s="18"/>
    </row>
    <row r="18" spans="1:24" ht="25.5" x14ac:dyDescent="0.2">
      <c r="A18" s="12" t="s">
        <v>34</v>
      </c>
      <c r="B18" s="12" t="s">
        <v>77</v>
      </c>
      <c r="C18" s="12" t="s">
        <v>76</v>
      </c>
      <c r="D18" s="26" t="s">
        <v>78</v>
      </c>
      <c r="E18" s="14" t="s">
        <v>89</v>
      </c>
      <c r="F18" s="14" t="s">
        <v>79</v>
      </c>
      <c r="G18" s="21" t="s">
        <v>31</v>
      </c>
      <c r="H18" s="19" t="s">
        <v>32</v>
      </c>
      <c r="I18" s="19" t="s">
        <v>33</v>
      </c>
      <c r="J18" s="19" t="s">
        <v>38</v>
      </c>
      <c r="K18" s="22" t="s">
        <v>39</v>
      </c>
      <c r="L18" s="16">
        <v>42962</v>
      </c>
      <c r="M18" s="16">
        <v>42963</v>
      </c>
      <c r="N18" s="22">
        <f>506.24/2</f>
        <v>253.12</v>
      </c>
      <c r="O18" s="22">
        <f>506.24/2</f>
        <v>253.12</v>
      </c>
      <c r="P18" s="22">
        <f t="shared" si="0"/>
        <v>506.24</v>
      </c>
      <c r="Q18" s="19">
        <v>4</v>
      </c>
      <c r="R18" s="22">
        <v>120</v>
      </c>
      <c r="S18" s="18"/>
      <c r="T18" s="15"/>
      <c r="U18" s="24">
        <f t="shared" si="1"/>
        <v>480</v>
      </c>
      <c r="V18" s="22">
        <f t="shared" si="2"/>
        <v>986.24</v>
      </c>
      <c r="W18" s="22">
        <f t="shared" si="3"/>
        <v>986.24</v>
      </c>
      <c r="X18" s="18"/>
    </row>
    <row r="19" spans="1:24" ht="25.5" x14ac:dyDescent="0.2">
      <c r="A19" s="12" t="s">
        <v>49</v>
      </c>
      <c r="B19" s="12" t="s">
        <v>49</v>
      </c>
      <c r="C19" s="12" t="s">
        <v>80</v>
      </c>
      <c r="D19" s="26" t="s">
        <v>74</v>
      </c>
      <c r="E19" s="14" t="s">
        <v>90</v>
      </c>
      <c r="F19" s="14" t="s">
        <v>73</v>
      </c>
      <c r="G19" s="21" t="s">
        <v>31</v>
      </c>
      <c r="H19" s="19" t="s">
        <v>32</v>
      </c>
      <c r="I19" s="19" t="s">
        <v>33</v>
      </c>
      <c r="J19" s="19" t="s">
        <v>38</v>
      </c>
      <c r="K19" s="22" t="s">
        <v>39</v>
      </c>
      <c r="L19" s="16">
        <v>42969</v>
      </c>
      <c r="M19" s="16">
        <v>42969</v>
      </c>
      <c r="N19" s="22">
        <f>619.11/2</f>
        <v>309.55500000000001</v>
      </c>
      <c r="O19" s="22">
        <f>619.11/2</f>
        <v>309.55500000000001</v>
      </c>
      <c r="P19" s="22">
        <f t="shared" si="0"/>
        <v>619.11</v>
      </c>
      <c r="Q19" s="19"/>
      <c r="R19" s="22"/>
      <c r="S19" s="18"/>
      <c r="T19" s="15"/>
      <c r="U19" s="24">
        <f t="shared" si="1"/>
        <v>0</v>
      </c>
      <c r="V19" s="22">
        <f t="shared" si="2"/>
        <v>619.11</v>
      </c>
      <c r="W19" s="22">
        <f t="shared" si="3"/>
        <v>619.11</v>
      </c>
      <c r="X19" s="18"/>
    </row>
    <row r="20" spans="1:24" ht="25.5" x14ac:dyDescent="0.2">
      <c r="A20" s="12" t="s">
        <v>49</v>
      </c>
      <c r="B20" s="12" t="s">
        <v>50</v>
      </c>
      <c r="C20" s="12" t="s">
        <v>48</v>
      </c>
      <c r="D20" s="26" t="s">
        <v>81</v>
      </c>
      <c r="E20" s="14" t="s">
        <v>56</v>
      </c>
      <c r="F20" s="14" t="s">
        <v>82</v>
      </c>
      <c r="G20" s="21" t="s">
        <v>31</v>
      </c>
      <c r="H20" s="19" t="s">
        <v>32</v>
      </c>
      <c r="I20" s="19" t="s">
        <v>33</v>
      </c>
      <c r="J20" s="19" t="s">
        <v>38</v>
      </c>
      <c r="K20" s="22" t="s">
        <v>39</v>
      </c>
      <c r="L20" s="16">
        <v>42970</v>
      </c>
      <c r="M20" s="16">
        <v>42970</v>
      </c>
      <c r="N20" s="22">
        <f>578.8/2</f>
        <v>289.39999999999998</v>
      </c>
      <c r="O20" s="22">
        <f>578.8/2</f>
        <v>289.39999999999998</v>
      </c>
      <c r="P20" s="22">
        <f t="shared" si="0"/>
        <v>578.79999999999995</v>
      </c>
      <c r="Q20" s="19">
        <v>2</v>
      </c>
      <c r="R20" s="22">
        <v>120</v>
      </c>
      <c r="S20" s="18"/>
      <c r="T20" s="15"/>
      <c r="U20" s="24">
        <f t="shared" si="1"/>
        <v>240</v>
      </c>
      <c r="V20" s="22">
        <f t="shared" si="2"/>
        <v>818.8</v>
      </c>
      <c r="W20" s="22">
        <f t="shared" si="3"/>
        <v>818.8</v>
      </c>
      <c r="X20" s="18"/>
    </row>
    <row r="21" spans="1:24" ht="25.5" x14ac:dyDescent="0.2">
      <c r="A21" s="12" t="s">
        <v>49</v>
      </c>
      <c r="B21" s="12" t="s">
        <v>50</v>
      </c>
      <c r="C21" s="12" t="s">
        <v>48</v>
      </c>
      <c r="D21" s="26" t="s">
        <v>81</v>
      </c>
      <c r="E21" s="14" t="s">
        <v>56</v>
      </c>
      <c r="F21" s="14" t="s">
        <v>83</v>
      </c>
      <c r="G21" s="21" t="s">
        <v>31</v>
      </c>
      <c r="H21" s="19" t="s">
        <v>32</v>
      </c>
      <c r="I21" s="19" t="s">
        <v>33</v>
      </c>
      <c r="J21" s="19" t="s">
        <v>38</v>
      </c>
      <c r="K21" s="22" t="s">
        <v>39</v>
      </c>
      <c r="L21" s="16">
        <v>42978</v>
      </c>
      <c r="M21" s="16">
        <v>42979</v>
      </c>
      <c r="N21" s="22">
        <v>502.79</v>
      </c>
      <c r="O21" s="22">
        <v>847.7</v>
      </c>
      <c r="P21" s="22">
        <f t="shared" si="0"/>
        <v>1350.49</v>
      </c>
      <c r="Q21" s="19">
        <v>4</v>
      </c>
      <c r="R21" s="22">
        <v>120</v>
      </c>
      <c r="S21" s="18"/>
      <c r="T21" s="15"/>
      <c r="U21" s="24">
        <f t="shared" si="1"/>
        <v>480</v>
      </c>
      <c r="V21" s="22">
        <f t="shared" si="2"/>
        <v>1830.49</v>
      </c>
      <c r="W21" s="22">
        <f t="shared" si="3"/>
        <v>1830.49</v>
      </c>
      <c r="X21" s="18"/>
    </row>
    <row r="22" spans="1:24" ht="25.5" x14ac:dyDescent="0.2">
      <c r="A22" s="12" t="s">
        <v>49</v>
      </c>
      <c r="B22" s="12" t="s">
        <v>49</v>
      </c>
      <c r="C22" s="12" t="s">
        <v>80</v>
      </c>
      <c r="D22" s="26" t="s">
        <v>74</v>
      </c>
      <c r="E22" s="14" t="s">
        <v>90</v>
      </c>
      <c r="F22" s="14" t="s">
        <v>83</v>
      </c>
      <c r="G22" s="21" t="s">
        <v>31</v>
      </c>
      <c r="H22" s="19" t="s">
        <v>32</v>
      </c>
      <c r="I22" s="19" t="s">
        <v>33</v>
      </c>
      <c r="J22" s="19" t="s">
        <v>38</v>
      </c>
      <c r="K22" s="22" t="s">
        <v>39</v>
      </c>
      <c r="L22" s="16">
        <v>42978</v>
      </c>
      <c r="M22" s="16">
        <v>42979</v>
      </c>
      <c r="N22" s="22">
        <f>1350.49/2</f>
        <v>675.245</v>
      </c>
      <c r="O22" s="22">
        <f>1350.49/2</f>
        <v>675.245</v>
      </c>
      <c r="P22" s="22">
        <f t="shared" si="0"/>
        <v>1350.49</v>
      </c>
      <c r="Q22" s="19"/>
      <c r="R22" s="22"/>
      <c r="S22" s="18"/>
      <c r="T22" s="15"/>
      <c r="U22" s="24">
        <f t="shared" si="1"/>
        <v>0</v>
      </c>
      <c r="V22" s="22">
        <f t="shared" si="2"/>
        <v>1350.49</v>
      </c>
      <c r="W22" s="22">
        <f t="shared" si="3"/>
        <v>1350.49</v>
      </c>
      <c r="X22" s="18"/>
    </row>
  </sheetData>
  <mergeCells count="27"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V8:V9"/>
    <mergeCell ref="N8:N9"/>
    <mergeCell ref="P8:P9"/>
    <mergeCell ref="Q8:R8"/>
    <mergeCell ref="S8:T8"/>
    <mergeCell ref="U8:U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7" workbookViewId="0">
      <selection activeCell="E26" sqref="E26"/>
    </sheetView>
  </sheetViews>
  <sheetFormatPr defaultRowHeight="15" customHeight="1" x14ac:dyDescent="0.2"/>
  <cols>
    <col min="1" max="1" width="8.625" customWidth="1"/>
    <col min="2" max="2" width="10.75" customWidth="1"/>
    <col min="3" max="3" width="44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1" t="s">
        <v>0</v>
      </c>
      <c r="W5" s="51"/>
      <c r="X5" s="8">
        <v>42979</v>
      </c>
    </row>
    <row r="6" spans="1:24" x14ac:dyDescent="0.2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x14ac:dyDescent="0.25">
      <c r="A7" s="52" t="s">
        <v>5</v>
      </c>
      <c r="B7" s="52"/>
      <c r="C7" s="52" t="s">
        <v>6</v>
      </c>
      <c r="D7" s="52"/>
      <c r="E7" s="52"/>
      <c r="F7" s="52" t="s">
        <v>3</v>
      </c>
      <c r="G7" s="52"/>
      <c r="H7" s="52"/>
      <c r="I7" s="52"/>
      <c r="J7" s="52"/>
      <c r="K7" s="52"/>
      <c r="L7" s="52"/>
      <c r="M7" s="52"/>
      <c r="N7" s="52" t="s">
        <v>7</v>
      </c>
      <c r="O7" s="52"/>
      <c r="P7" s="52"/>
      <c r="Q7" s="52" t="s">
        <v>1</v>
      </c>
      <c r="R7" s="52"/>
      <c r="S7" s="52"/>
      <c r="T7" s="52"/>
      <c r="U7" s="52"/>
      <c r="V7" s="52"/>
      <c r="W7" s="52" t="s">
        <v>8</v>
      </c>
      <c r="X7" s="52" t="s">
        <v>9</v>
      </c>
    </row>
    <row r="8" spans="1:24" s="9" customFormat="1" x14ac:dyDescent="0.25">
      <c r="A8" s="53" t="s">
        <v>10</v>
      </c>
      <c r="B8" s="53" t="s">
        <v>11</v>
      </c>
      <c r="C8" s="53" t="s">
        <v>12</v>
      </c>
      <c r="D8" s="53" t="s">
        <v>13</v>
      </c>
      <c r="E8" s="53" t="s">
        <v>14</v>
      </c>
      <c r="F8" s="53" t="s">
        <v>15</v>
      </c>
      <c r="G8" s="53" t="s">
        <v>16</v>
      </c>
      <c r="H8" s="53" t="s">
        <v>17</v>
      </c>
      <c r="I8" s="53"/>
      <c r="J8" s="54" t="s">
        <v>18</v>
      </c>
      <c r="K8" s="54"/>
      <c r="L8" s="53" t="s">
        <v>19</v>
      </c>
      <c r="M8" s="53" t="s">
        <v>20</v>
      </c>
      <c r="N8" s="54" t="s">
        <v>21</v>
      </c>
      <c r="O8" s="54" t="s">
        <v>22</v>
      </c>
      <c r="P8" s="54" t="s">
        <v>23</v>
      </c>
      <c r="Q8" s="54" t="s">
        <v>24</v>
      </c>
      <c r="R8" s="54"/>
      <c r="S8" s="54" t="s">
        <v>25</v>
      </c>
      <c r="T8" s="54"/>
      <c r="U8" s="53" t="s">
        <v>26</v>
      </c>
      <c r="V8" s="54" t="s">
        <v>23</v>
      </c>
      <c r="W8" s="52"/>
      <c r="X8" s="52"/>
    </row>
    <row r="9" spans="1:24" s="9" customFormat="1" x14ac:dyDescent="0.25">
      <c r="A9" s="53"/>
      <c r="B9" s="53"/>
      <c r="C9" s="53"/>
      <c r="D9" s="53"/>
      <c r="E9" s="53"/>
      <c r="F9" s="53"/>
      <c r="G9" s="53"/>
      <c r="H9" s="10" t="s">
        <v>27</v>
      </c>
      <c r="I9" s="10" t="s">
        <v>28</v>
      </c>
      <c r="J9" s="10" t="s">
        <v>27</v>
      </c>
      <c r="K9" s="11" t="s">
        <v>29</v>
      </c>
      <c r="L9" s="53"/>
      <c r="M9" s="53"/>
      <c r="N9" s="54"/>
      <c r="O9" s="54"/>
      <c r="P9" s="54"/>
      <c r="Q9" s="10" t="s">
        <v>2</v>
      </c>
      <c r="R9" s="11" t="s">
        <v>30</v>
      </c>
      <c r="S9" s="10" t="s">
        <v>2</v>
      </c>
      <c r="T9" s="11" t="s">
        <v>30</v>
      </c>
      <c r="U9" s="53"/>
      <c r="V9" s="54"/>
      <c r="W9" s="52"/>
      <c r="X9" s="52"/>
    </row>
    <row r="10" spans="1:24" ht="51" x14ac:dyDescent="0.2">
      <c r="A10" s="27" t="s">
        <v>34</v>
      </c>
      <c r="B10" s="27" t="s">
        <v>91</v>
      </c>
      <c r="C10" s="27" t="s">
        <v>92</v>
      </c>
      <c r="D10" s="29" t="s">
        <v>93</v>
      </c>
      <c r="E10" s="34" t="s">
        <v>126</v>
      </c>
      <c r="F10" s="34" t="s">
        <v>94</v>
      </c>
      <c r="G10" s="30" t="s">
        <v>31</v>
      </c>
      <c r="H10" s="27" t="s">
        <v>32</v>
      </c>
      <c r="I10" s="27" t="s">
        <v>33</v>
      </c>
      <c r="J10" s="27" t="s">
        <v>38</v>
      </c>
      <c r="K10" s="31" t="s">
        <v>39</v>
      </c>
      <c r="L10" s="35">
        <v>42996</v>
      </c>
      <c r="M10" s="35">
        <v>42999</v>
      </c>
      <c r="N10" s="31">
        <f>1065.76/2</f>
        <v>532.88</v>
      </c>
      <c r="O10" s="31">
        <f>1065.76/2</f>
        <v>532.88</v>
      </c>
      <c r="P10" s="31">
        <f t="shared" ref="P10:P26" si="0">N10+O10</f>
        <v>1065.76</v>
      </c>
      <c r="Q10" s="27">
        <v>6</v>
      </c>
      <c r="R10" s="31">
        <v>120</v>
      </c>
      <c r="S10" s="27"/>
      <c r="T10" s="31"/>
      <c r="U10" s="32">
        <f t="shared" ref="U10:U26" si="1">(Q10*R10)+(S10*T10)</f>
        <v>720</v>
      </c>
      <c r="V10" s="31">
        <f t="shared" ref="V10:V26" si="2">P10+U10</f>
        <v>1785.76</v>
      </c>
      <c r="W10" s="31">
        <f t="shared" ref="W10:W26" si="3">V10</f>
        <v>1785.76</v>
      </c>
      <c r="X10" s="28"/>
    </row>
    <row r="11" spans="1:24" ht="38.25" x14ac:dyDescent="0.2">
      <c r="A11" s="27" t="s">
        <v>34</v>
      </c>
      <c r="B11" s="27" t="s">
        <v>77</v>
      </c>
      <c r="C11" s="34" t="s">
        <v>95</v>
      </c>
      <c r="D11" s="29" t="s">
        <v>96</v>
      </c>
      <c r="E11" s="34" t="s">
        <v>127</v>
      </c>
      <c r="F11" s="34" t="s">
        <v>97</v>
      </c>
      <c r="G11" s="30" t="s">
        <v>31</v>
      </c>
      <c r="H11" s="27" t="s">
        <v>32</v>
      </c>
      <c r="I11" s="27" t="s">
        <v>33</v>
      </c>
      <c r="J11" s="27" t="s">
        <v>38</v>
      </c>
      <c r="K11" s="31" t="s">
        <v>39</v>
      </c>
      <c r="L11" s="35">
        <v>42996</v>
      </c>
      <c r="M11" s="35">
        <v>42999</v>
      </c>
      <c r="N11" s="31">
        <f>1065.76/2</f>
        <v>532.88</v>
      </c>
      <c r="O11" s="31">
        <f>1065.76/2</f>
        <v>532.88</v>
      </c>
      <c r="P11" s="31">
        <f t="shared" si="0"/>
        <v>1065.76</v>
      </c>
      <c r="Q11" s="27">
        <v>4</v>
      </c>
      <c r="R11" s="31">
        <v>120</v>
      </c>
      <c r="S11" s="27">
        <v>1</v>
      </c>
      <c r="T11" s="31">
        <v>200</v>
      </c>
      <c r="U11" s="32">
        <f t="shared" si="1"/>
        <v>680</v>
      </c>
      <c r="V11" s="31">
        <f t="shared" si="2"/>
        <v>1745.76</v>
      </c>
      <c r="W11" s="31">
        <f t="shared" si="3"/>
        <v>1745.76</v>
      </c>
      <c r="X11" s="28"/>
    </row>
    <row r="12" spans="1:24" ht="38.25" x14ac:dyDescent="0.2">
      <c r="A12" s="27" t="s">
        <v>34</v>
      </c>
      <c r="B12" s="27" t="s">
        <v>35</v>
      </c>
      <c r="C12" s="27" t="s">
        <v>98</v>
      </c>
      <c r="D12" s="29" t="s">
        <v>99</v>
      </c>
      <c r="E12" s="34" t="s">
        <v>128</v>
      </c>
      <c r="F12" s="34" t="s">
        <v>100</v>
      </c>
      <c r="G12" s="30" t="s">
        <v>31</v>
      </c>
      <c r="H12" s="27" t="s">
        <v>32</v>
      </c>
      <c r="I12" s="27" t="s">
        <v>33</v>
      </c>
      <c r="J12" s="27" t="s">
        <v>102</v>
      </c>
      <c r="K12" s="31" t="s">
        <v>101</v>
      </c>
      <c r="L12" s="35">
        <v>42996</v>
      </c>
      <c r="M12" s="35">
        <v>42999</v>
      </c>
      <c r="N12" s="31">
        <f>930.64/2</f>
        <v>465.32</v>
      </c>
      <c r="O12" s="31">
        <f>930.64/2</f>
        <v>465.32</v>
      </c>
      <c r="P12" s="31">
        <f t="shared" si="0"/>
        <v>930.64</v>
      </c>
      <c r="Q12" s="27">
        <v>4</v>
      </c>
      <c r="R12" s="31">
        <v>120</v>
      </c>
      <c r="S12" s="36"/>
      <c r="T12" s="31"/>
      <c r="U12" s="32">
        <f t="shared" si="1"/>
        <v>480</v>
      </c>
      <c r="V12" s="31">
        <f t="shared" si="2"/>
        <v>1410.6399999999999</v>
      </c>
      <c r="W12" s="31">
        <f t="shared" si="3"/>
        <v>1410.6399999999999</v>
      </c>
      <c r="X12" s="33"/>
    </row>
    <row r="13" spans="1:24" ht="25.5" x14ac:dyDescent="0.2">
      <c r="A13" s="27" t="s">
        <v>103</v>
      </c>
      <c r="B13" s="27" t="s">
        <v>49</v>
      </c>
      <c r="C13" s="27" t="s">
        <v>80</v>
      </c>
      <c r="D13" s="29" t="s">
        <v>104</v>
      </c>
      <c r="E13" s="20" t="s">
        <v>90</v>
      </c>
      <c r="F13" s="34" t="s">
        <v>105</v>
      </c>
      <c r="G13" s="30" t="s">
        <v>31</v>
      </c>
      <c r="H13" s="27" t="s">
        <v>32</v>
      </c>
      <c r="I13" s="27" t="s">
        <v>33</v>
      </c>
      <c r="J13" s="27" t="s">
        <v>106</v>
      </c>
      <c r="K13" s="31" t="s">
        <v>107</v>
      </c>
      <c r="L13" s="35">
        <v>42991</v>
      </c>
      <c r="M13" s="35">
        <v>42992</v>
      </c>
      <c r="N13" s="31">
        <f>1597.07/2</f>
        <v>798.53499999999997</v>
      </c>
      <c r="O13" s="31">
        <f>1597.07/2</f>
        <v>798.53499999999997</v>
      </c>
      <c r="P13" s="31">
        <f t="shared" si="0"/>
        <v>1597.07</v>
      </c>
      <c r="Q13" s="27">
        <v>0</v>
      </c>
      <c r="R13" s="31"/>
      <c r="S13" s="36">
        <v>0</v>
      </c>
      <c r="T13" s="31"/>
      <c r="U13" s="32">
        <f t="shared" si="1"/>
        <v>0</v>
      </c>
      <c r="V13" s="31">
        <f t="shared" si="2"/>
        <v>1597.07</v>
      </c>
      <c r="W13" s="31">
        <f t="shared" si="3"/>
        <v>1597.07</v>
      </c>
      <c r="X13" s="33"/>
    </row>
    <row r="14" spans="1:24" ht="25.5" x14ac:dyDescent="0.2">
      <c r="A14" s="27" t="s">
        <v>103</v>
      </c>
      <c r="B14" s="27" t="s">
        <v>50</v>
      </c>
      <c r="C14" s="27" t="s">
        <v>48</v>
      </c>
      <c r="D14" s="29" t="s">
        <v>81</v>
      </c>
      <c r="E14" s="20" t="s">
        <v>56</v>
      </c>
      <c r="F14" s="34" t="s">
        <v>105</v>
      </c>
      <c r="G14" s="30" t="s">
        <v>31</v>
      </c>
      <c r="H14" s="27" t="s">
        <v>32</v>
      </c>
      <c r="I14" s="27" t="s">
        <v>33</v>
      </c>
      <c r="J14" s="27" t="s">
        <v>106</v>
      </c>
      <c r="K14" s="31" t="s">
        <v>107</v>
      </c>
      <c r="L14" s="35">
        <v>42991</v>
      </c>
      <c r="M14" s="35">
        <v>42992</v>
      </c>
      <c r="N14" s="31">
        <f>1597.07/2</f>
        <v>798.53499999999997</v>
      </c>
      <c r="O14" s="31">
        <f>1597.07/2</f>
        <v>798.53499999999997</v>
      </c>
      <c r="P14" s="31">
        <f t="shared" si="0"/>
        <v>1597.07</v>
      </c>
      <c r="Q14" s="27">
        <v>4</v>
      </c>
      <c r="R14" s="31">
        <v>120</v>
      </c>
      <c r="S14" s="36"/>
      <c r="T14" s="31"/>
      <c r="U14" s="32">
        <f t="shared" si="1"/>
        <v>480</v>
      </c>
      <c r="V14" s="31">
        <f t="shared" si="2"/>
        <v>2077.0699999999997</v>
      </c>
      <c r="W14" s="31">
        <f t="shared" si="3"/>
        <v>2077.0699999999997</v>
      </c>
      <c r="X14" s="33"/>
    </row>
    <row r="15" spans="1:24" ht="38.25" x14ac:dyDescent="0.2">
      <c r="A15" s="27" t="s">
        <v>34</v>
      </c>
      <c r="B15" s="27" t="s">
        <v>109</v>
      </c>
      <c r="C15" s="27" t="s">
        <v>108</v>
      </c>
      <c r="D15" s="29" t="s">
        <v>110</v>
      </c>
      <c r="E15" s="34" t="s">
        <v>129</v>
      </c>
      <c r="F15" s="34" t="s">
        <v>113</v>
      </c>
      <c r="G15" s="30" t="s">
        <v>31</v>
      </c>
      <c r="H15" s="27" t="s">
        <v>32</v>
      </c>
      <c r="I15" s="27" t="s">
        <v>33</v>
      </c>
      <c r="J15" s="27" t="s">
        <v>111</v>
      </c>
      <c r="K15" s="31" t="s">
        <v>112</v>
      </c>
      <c r="L15" s="35">
        <v>42995</v>
      </c>
      <c r="M15" s="35">
        <v>43000</v>
      </c>
      <c r="N15" s="31">
        <f>701.32/2</f>
        <v>350.66</v>
      </c>
      <c r="O15" s="31">
        <f>701.32/2</f>
        <v>350.66</v>
      </c>
      <c r="P15" s="31">
        <f t="shared" si="0"/>
        <v>701.32</v>
      </c>
      <c r="Q15" s="27">
        <v>6</v>
      </c>
      <c r="R15" s="31">
        <v>120</v>
      </c>
      <c r="S15" s="36">
        <v>3</v>
      </c>
      <c r="T15" s="31">
        <v>100</v>
      </c>
      <c r="U15" s="32">
        <f t="shared" si="1"/>
        <v>1020</v>
      </c>
      <c r="V15" s="31">
        <f t="shared" si="2"/>
        <v>1721.3200000000002</v>
      </c>
      <c r="W15" s="31">
        <f t="shared" si="3"/>
        <v>1721.3200000000002</v>
      </c>
      <c r="X15" s="33"/>
    </row>
    <row r="16" spans="1:24" ht="25.5" x14ac:dyDescent="0.2">
      <c r="A16" s="27" t="s">
        <v>34</v>
      </c>
      <c r="B16" s="27" t="s">
        <v>34</v>
      </c>
      <c r="C16" s="27" t="s">
        <v>46</v>
      </c>
      <c r="D16" s="29" t="s">
        <v>104</v>
      </c>
      <c r="E16" s="20" t="s">
        <v>55</v>
      </c>
      <c r="F16" s="34" t="s">
        <v>83</v>
      </c>
      <c r="G16" s="30" t="s">
        <v>31</v>
      </c>
      <c r="H16" s="27" t="s">
        <v>32</v>
      </c>
      <c r="I16" s="27" t="s">
        <v>33</v>
      </c>
      <c r="J16" s="27" t="s">
        <v>38</v>
      </c>
      <c r="K16" s="31" t="s">
        <v>39</v>
      </c>
      <c r="L16" s="35">
        <v>43006</v>
      </c>
      <c r="M16" s="35">
        <v>43007</v>
      </c>
      <c r="N16" s="31">
        <f>1670.59/2</f>
        <v>835.29499999999996</v>
      </c>
      <c r="O16" s="31">
        <f>1670.59/2</f>
        <v>835.29499999999996</v>
      </c>
      <c r="P16" s="31">
        <f t="shared" si="0"/>
        <v>1670.59</v>
      </c>
      <c r="Q16" s="27">
        <v>0</v>
      </c>
      <c r="R16" s="31"/>
      <c r="S16" s="36">
        <v>0</v>
      </c>
      <c r="T16" s="31"/>
      <c r="U16" s="32">
        <f t="shared" si="1"/>
        <v>0</v>
      </c>
      <c r="V16" s="31">
        <f t="shared" si="2"/>
        <v>1670.59</v>
      </c>
      <c r="W16" s="31">
        <f t="shared" si="3"/>
        <v>1670.59</v>
      </c>
      <c r="X16" s="33"/>
    </row>
    <row r="17" spans="1:24" ht="38.25" x14ac:dyDescent="0.2">
      <c r="A17" s="27" t="s">
        <v>103</v>
      </c>
      <c r="B17" s="27" t="s">
        <v>65</v>
      </c>
      <c r="C17" s="27" t="s">
        <v>114</v>
      </c>
      <c r="D17" s="29" t="s">
        <v>115</v>
      </c>
      <c r="E17" s="34" t="s">
        <v>130</v>
      </c>
      <c r="F17" s="34" t="s">
        <v>116</v>
      </c>
      <c r="G17" s="30" t="s">
        <v>31</v>
      </c>
      <c r="H17" s="27" t="s">
        <v>32</v>
      </c>
      <c r="I17" s="27" t="s">
        <v>33</v>
      </c>
      <c r="J17" s="27" t="s">
        <v>38</v>
      </c>
      <c r="K17" s="31" t="s">
        <v>39</v>
      </c>
      <c r="L17" s="35">
        <v>42996</v>
      </c>
      <c r="M17" s="35">
        <v>43000</v>
      </c>
      <c r="N17" s="31">
        <f>918.1/2</f>
        <v>459.05</v>
      </c>
      <c r="O17" s="31">
        <f>918.1/2</f>
        <v>459.05</v>
      </c>
      <c r="P17" s="31">
        <f t="shared" si="0"/>
        <v>918.1</v>
      </c>
      <c r="Q17" s="27">
        <v>5</v>
      </c>
      <c r="R17" s="31">
        <v>120</v>
      </c>
      <c r="S17" s="36"/>
      <c r="T17" s="31"/>
      <c r="U17" s="32">
        <f t="shared" si="1"/>
        <v>600</v>
      </c>
      <c r="V17" s="31">
        <f t="shared" si="2"/>
        <v>1518.1</v>
      </c>
      <c r="W17" s="31">
        <f t="shared" si="3"/>
        <v>1518.1</v>
      </c>
      <c r="X17" s="33"/>
    </row>
    <row r="18" spans="1:24" ht="25.5" x14ac:dyDescent="0.2">
      <c r="A18" s="27" t="s">
        <v>103</v>
      </c>
      <c r="B18" s="27" t="s">
        <v>49</v>
      </c>
      <c r="C18" s="27" t="s">
        <v>80</v>
      </c>
      <c r="D18" s="29" t="s">
        <v>104</v>
      </c>
      <c r="E18" s="20" t="s">
        <v>90</v>
      </c>
      <c r="F18" s="34" t="s">
        <v>117</v>
      </c>
      <c r="G18" s="30" t="s">
        <v>31</v>
      </c>
      <c r="H18" s="27" t="s">
        <v>32</v>
      </c>
      <c r="I18" s="27" t="s">
        <v>33</v>
      </c>
      <c r="J18" s="27" t="s">
        <v>111</v>
      </c>
      <c r="K18" s="31" t="s">
        <v>112</v>
      </c>
      <c r="L18" s="35">
        <v>42997</v>
      </c>
      <c r="M18" s="35">
        <v>42997</v>
      </c>
      <c r="N18" s="31">
        <f>620.21/2</f>
        <v>310.10500000000002</v>
      </c>
      <c r="O18" s="31">
        <f>620.21/2</f>
        <v>310.10500000000002</v>
      </c>
      <c r="P18" s="31">
        <f t="shared" si="0"/>
        <v>620.21</v>
      </c>
      <c r="Q18" s="27">
        <v>0</v>
      </c>
      <c r="R18" s="31"/>
      <c r="S18" s="36">
        <v>0</v>
      </c>
      <c r="T18" s="31"/>
      <c r="U18" s="32">
        <f t="shared" si="1"/>
        <v>0</v>
      </c>
      <c r="V18" s="31">
        <f t="shared" si="2"/>
        <v>620.21</v>
      </c>
      <c r="W18" s="31">
        <f t="shared" si="3"/>
        <v>620.21</v>
      </c>
      <c r="X18" s="33"/>
    </row>
    <row r="19" spans="1:24" ht="25.5" x14ac:dyDescent="0.2">
      <c r="A19" s="27" t="s">
        <v>103</v>
      </c>
      <c r="B19" s="27" t="s">
        <v>50</v>
      </c>
      <c r="C19" s="27" t="s">
        <v>48</v>
      </c>
      <c r="D19" s="29" t="s">
        <v>81</v>
      </c>
      <c r="E19" s="20" t="s">
        <v>56</v>
      </c>
      <c r="F19" s="34" t="s">
        <v>117</v>
      </c>
      <c r="G19" s="30" t="s">
        <v>31</v>
      </c>
      <c r="H19" s="27" t="s">
        <v>32</v>
      </c>
      <c r="I19" s="27" t="s">
        <v>33</v>
      </c>
      <c r="J19" s="27" t="s">
        <v>111</v>
      </c>
      <c r="K19" s="31" t="s">
        <v>112</v>
      </c>
      <c r="L19" s="35">
        <v>42997</v>
      </c>
      <c r="M19" s="35">
        <v>42997</v>
      </c>
      <c r="N19" s="31">
        <f>620.21/2</f>
        <v>310.10500000000002</v>
      </c>
      <c r="O19" s="31">
        <f>620.21/2</f>
        <v>310.10500000000002</v>
      </c>
      <c r="P19" s="31">
        <f t="shared" si="0"/>
        <v>620.21</v>
      </c>
      <c r="Q19" s="27">
        <v>3</v>
      </c>
      <c r="R19" s="31">
        <v>120</v>
      </c>
      <c r="S19" s="36"/>
      <c r="T19" s="31"/>
      <c r="U19" s="32">
        <f t="shared" si="1"/>
        <v>360</v>
      </c>
      <c r="V19" s="31">
        <f t="shared" si="2"/>
        <v>980.21</v>
      </c>
      <c r="W19" s="31">
        <f t="shared" si="3"/>
        <v>980.21</v>
      </c>
      <c r="X19" s="33"/>
    </row>
    <row r="20" spans="1:24" ht="25.5" x14ac:dyDescent="0.2">
      <c r="A20" s="27" t="s">
        <v>103</v>
      </c>
      <c r="B20" s="27" t="s">
        <v>49</v>
      </c>
      <c r="C20" s="27" t="s">
        <v>80</v>
      </c>
      <c r="D20" s="29" t="s">
        <v>104</v>
      </c>
      <c r="E20" s="20" t="s">
        <v>90</v>
      </c>
      <c r="F20" s="34" t="s">
        <v>83</v>
      </c>
      <c r="G20" s="30" t="s">
        <v>31</v>
      </c>
      <c r="H20" s="27" t="s">
        <v>32</v>
      </c>
      <c r="I20" s="27" t="s">
        <v>33</v>
      </c>
      <c r="J20" s="27" t="s">
        <v>38</v>
      </c>
      <c r="K20" s="31" t="s">
        <v>39</v>
      </c>
      <c r="L20" s="35">
        <v>43000</v>
      </c>
      <c r="M20" s="35">
        <v>43000</v>
      </c>
      <c r="N20" s="31">
        <f>1146.13/2</f>
        <v>573.06500000000005</v>
      </c>
      <c r="O20" s="31">
        <f>1146.13/2</f>
        <v>573.06500000000005</v>
      </c>
      <c r="P20" s="31">
        <f t="shared" si="0"/>
        <v>1146.1300000000001</v>
      </c>
      <c r="Q20" s="27">
        <v>0</v>
      </c>
      <c r="R20" s="31"/>
      <c r="S20" s="36">
        <v>0</v>
      </c>
      <c r="T20" s="31"/>
      <c r="U20" s="32">
        <f t="shared" si="1"/>
        <v>0</v>
      </c>
      <c r="V20" s="31">
        <f t="shared" si="2"/>
        <v>1146.1300000000001</v>
      </c>
      <c r="W20" s="31">
        <f t="shared" si="3"/>
        <v>1146.1300000000001</v>
      </c>
      <c r="X20" s="33"/>
    </row>
    <row r="21" spans="1:24" ht="25.5" x14ac:dyDescent="0.2">
      <c r="A21" s="27" t="s">
        <v>103</v>
      </c>
      <c r="B21" s="27" t="s">
        <v>50</v>
      </c>
      <c r="C21" s="27" t="s">
        <v>48</v>
      </c>
      <c r="D21" s="29" t="s">
        <v>81</v>
      </c>
      <c r="E21" s="20" t="s">
        <v>56</v>
      </c>
      <c r="F21" s="34" t="s">
        <v>83</v>
      </c>
      <c r="G21" s="30" t="s">
        <v>31</v>
      </c>
      <c r="H21" s="27" t="s">
        <v>32</v>
      </c>
      <c r="I21" s="27" t="s">
        <v>33</v>
      </c>
      <c r="J21" s="27" t="s">
        <v>38</v>
      </c>
      <c r="K21" s="31" t="s">
        <v>39</v>
      </c>
      <c r="L21" s="35">
        <v>43000</v>
      </c>
      <c r="M21" s="35">
        <v>43000</v>
      </c>
      <c r="N21" s="31">
        <f>1146.13/2</f>
        <v>573.06500000000005</v>
      </c>
      <c r="O21" s="31">
        <f>1146.13/2</f>
        <v>573.06500000000005</v>
      </c>
      <c r="P21" s="31">
        <f t="shared" si="0"/>
        <v>1146.1300000000001</v>
      </c>
      <c r="Q21" s="27">
        <v>3</v>
      </c>
      <c r="R21" s="31">
        <v>120</v>
      </c>
      <c r="S21" s="36"/>
      <c r="T21" s="31"/>
      <c r="U21" s="32">
        <f t="shared" si="1"/>
        <v>360</v>
      </c>
      <c r="V21" s="31">
        <f t="shared" si="2"/>
        <v>1506.13</v>
      </c>
      <c r="W21" s="31">
        <f t="shared" si="3"/>
        <v>1506.13</v>
      </c>
      <c r="X21" s="33"/>
    </row>
    <row r="22" spans="1:24" ht="25.5" x14ac:dyDescent="0.2">
      <c r="A22" s="27" t="s">
        <v>34</v>
      </c>
      <c r="B22" s="27" t="s">
        <v>34</v>
      </c>
      <c r="C22" s="27" t="s">
        <v>118</v>
      </c>
      <c r="D22" s="29" t="s">
        <v>119</v>
      </c>
      <c r="E22" s="34" t="s">
        <v>131</v>
      </c>
      <c r="F22" s="34" t="s">
        <v>120</v>
      </c>
      <c r="G22" s="30" t="s">
        <v>31</v>
      </c>
      <c r="H22" s="27" t="s">
        <v>32</v>
      </c>
      <c r="I22" s="27" t="s">
        <v>33</v>
      </c>
      <c r="J22" s="27" t="s">
        <v>121</v>
      </c>
      <c r="K22" s="31" t="s">
        <v>62</v>
      </c>
      <c r="L22" s="35">
        <v>42998</v>
      </c>
      <c r="M22" s="35">
        <v>42999</v>
      </c>
      <c r="N22" s="31">
        <f>1918.58/2</f>
        <v>959.29</v>
      </c>
      <c r="O22" s="31">
        <f>1918.58/2</f>
        <v>959.29</v>
      </c>
      <c r="P22" s="31">
        <f t="shared" si="0"/>
        <v>1918.58</v>
      </c>
      <c r="Q22" s="27">
        <v>2</v>
      </c>
      <c r="R22" s="31">
        <v>120</v>
      </c>
      <c r="S22" s="36"/>
      <c r="T22" s="31"/>
      <c r="U22" s="32">
        <f t="shared" si="1"/>
        <v>240</v>
      </c>
      <c r="V22" s="31">
        <f t="shared" si="2"/>
        <v>2158.58</v>
      </c>
      <c r="W22" s="31">
        <f t="shared" si="3"/>
        <v>2158.58</v>
      </c>
      <c r="X22" s="33"/>
    </row>
    <row r="23" spans="1:24" ht="25.5" x14ac:dyDescent="0.2">
      <c r="A23" s="27" t="s">
        <v>103</v>
      </c>
      <c r="B23" s="27" t="s">
        <v>49</v>
      </c>
      <c r="C23" s="27" t="s">
        <v>80</v>
      </c>
      <c r="D23" s="29" t="s">
        <v>104</v>
      </c>
      <c r="E23" s="20" t="s">
        <v>90</v>
      </c>
      <c r="F23" s="34" t="s">
        <v>122</v>
      </c>
      <c r="G23" s="30" t="s">
        <v>31</v>
      </c>
      <c r="H23" s="27" t="s">
        <v>32</v>
      </c>
      <c r="I23" s="27" t="s">
        <v>33</v>
      </c>
      <c r="J23" s="27" t="s">
        <v>121</v>
      </c>
      <c r="K23" s="31" t="s">
        <v>62</v>
      </c>
      <c r="L23" s="35">
        <v>43003</v>
      </c>
      <c r="M23" s="35">
        <v>43003</v>
      </c>
      <c r="N23" s="31">
        <f>1855.88/2</f>
        <v>927.94</v>
      </c>
      <c r="O23" s="31">
        <f>1855.88/2</f>
        <v>927.94</v>
      </c>
      <c r="P23" s="31">
        <f t="shared" si="0"/>
        <v>1855.88</v>
      </c>
      <c r="Q23" s="27">
        <v>0</v>
      </c>
      <c r="R23" s="31"/>
      <c r="S23" s="36">
        <v>0</v>
      </c>
      <c r="T23" s="31"/>
      <c r="U23" s="32">
        <f t="shared" si="1"/>
        <v>0</v>
      </c>
      <c r="V23" s="31">
        <f t="shared" si="2"/>
        <v>1855.88</v>
      </c>
      <c r="W23" s="31">
        <f t="shared" si="3"/>
        <v>1855.88</v>
      </c>
      <c r="X23" s="33"/>
    </row>
    <row r="24" spans="1:24" ht="25.5" x14ac:dyDescent="0.2">
      <c r="A24" s="27" t="s">
        <v>103</v>
      </c>
      <c r="B24" s="27" t="s">
        <v>50</v>
      </c>
      <c r="C24" s="27" t="s">
        <v>48</v>
      </c>
      <c r="D24" s="29" t="s">
        <v>81</v>
      </c>
      <c r="E24" s="20" t="s">
        <v>56</v>
      </c>
      <c r="F24" s="34" t="s">
        <v>122</v>
      </c>
      <c r="G24" s="30" t="s">
        <v>31</v>
      </c>
      <c r="H24" s="27" t="s">
        <v>32</v>
      </c>
      <c r="I24" s="27" t="s">
        <v>33</v>
      </c>
      <c r="J24" s="27" t="s">
        <v>121</v>
      </c>
      <c r="K24" s="31" t="s">
        <v>62</v>
      </c>
      <c r="L24" s="35">
        <v>43003</v>
      </c>
      <c r="M24" s="35">
        <v>43003</v>
      </c>
      <c r="N24" s="31">
        <f>1855.88/2</f>
        <v>927.94</v>
      </c>
      <c r="O24" s="31">
        <f>1855.88/2</f>
        <v>927.94</v>
      </c>
      <c r="P24" s="31">
        <f t="shared" si="0"/>
        <v>1855.88</v>
      </c>
      <c r="Q24" s="27">
        <v>3</v>
      </c>
      <c r="R24" s="31">
        <v>120</v>
      </c>
      <c r="S24" s="36"/>
      <c r="T24" s="31"/>
      <c r="U24" s="32">
        <f t="shared" si="1"/>
        <v>360</v>
      </c>
      <c r="V24" s="31">
        <f t="shared" si="2"/>
        <v>2215.88</v>
      </c>
      <c r="W24" s="31">
        <f t="shared" si="3"/>
        <v>2215.88</v>
      </c>
      <c r="X24" s="33"/>
    </row>
    <row r="25" spans="1:24" ht="38.25" x14ac:dyDescent="0.2">
      <c r="A25" s="27" t="s">
        <v>44</v>
      </c>
      <c r="B25" s="27" t="s">
        <v>44</v>
      </c>
      <c r="C25" s="27" t="s">
        <v>75</v>
      </c>
      <c r="D25" s="29" t="s">
        <v>104</v>
      </c>
      <c r="E25" s="20" t="s">
        <v>88</v>
      </c>
      <c r="F25" s="34" t="s">
        <v>122</v>
      </c>
      <c r="G25" s="30" t="s">
        <v>31</v>
      </c>
      <c r="H25" s="27" t="s">
        <v>111</v>
      </c>
      <c r="I25" s="31" t="s">
        <v>112</v>
      </c>
      <c r="J25" s="27" t="s">
        <v>121</v>
      </c>
      <c r="K25" s="31" t="s">
        <v>62</v>
      </c>
      <c r="L25" s="35">
        <v>43003</v>
      </c>
      <c r="M25" s="35">
        <v>43003</v>
      </c>
      <c r="N25" s="31">
        <f>908.69/2</f>
        <v>454.34500000000003</v>
      </c>
      <c r="O25" s="31">
        <f>908.69/2</f>
        <v>454.34500000000003</v>
      </c>
      <c r="P25" s="31">
        <f t="shared" si="0"/>
        <v>908.69</v>
      </c>
      <c r="Q25" s="27">
        <v>0</v>
      </c>
      <c r="R25" s="31"/>
      <c r="S25" s="36">
        <v>0</v>
      </c>
      <c r="T25" s="31"/>
      <c r="U25" s="32">
        <f t="shared" si="1"/>
        <v>0</v>
      </c>
      <c r="V25" s="31">
        <f t="shared" si="2"/>
        <v>908.69</v>
      </c>
      <c r="W25" s="31">
        <f t="shared" si="3"/>
        <v>908.69</v>
      </c>
      <c r="X25" s="33"/>
    </row>
    <row r="26" spans="1:24" ht="25.5" x14ac:dyDescent="0.2">
      <c r="A26" s="27" t="s">
        <v>44</v>
      </c>
      <c r="B26" s="27" t="s">
        <v>125</v>
      </c>
      <c r="C26" s="27" t="s">
        <v>123</v>
      </c>
      <c r="D26" s="29" t="s">
        <v>124</v>
      </c>
      <c r="E26" s="34" t="s">
        <v>132</v>
      </c>
      <c r="F26" s="34" t="s">
        <v>120</v>
      </c>
      <c r="G26" s="30" t="s">
        <v>31</v>
      </c>
      <c r="H26" s="27" t="s">
        <v>32</v>
      </c>
      <c r="I26" s="27" t="s">
        <v>33</v>
      </c>
      <c r="J26" s="27" t="s">
        <v>121</v>
      </c>
      <c r="K26" s="31" t="s">
        <v>62</v>
      </c>
      <c r="L26" s="35">
        <v>42996</v>
      </c>
      <c r="M26" s="35">
        <v>43000</v>
      </c>
      <c r="N26" s="31">
        <f>1009.15/2</f>
        <v>504.57499999999999</v>
      </c>
      <c r="O26" s="31">
        <f>1009.15/2</f>
        <v>504.57499999999999</v>
      </c>
      <c r="P26" s="31">
        <f t="shared" si="0"/>
        <v>1009.15</v>
      </c>
      <c r="Q26" s="27">
        <v>3</v>
      </c>
      <c r="R26" s="31">
        <v>120</v>
      </c>
      <c r="S26" s="36"/>
      <c r="T26" s="31"/>
      <c r="U26" s="32">
        <f t="shared" si="1"/>
        <v>360</v>
      </c>
      <c r="V26" s="31">
        <f t="shared" si="2"/>
        <v>1369.15</v>
      </c>
      <c r="W26" s="31">
        <f t="shared" si="3"/>
        <v>1369.15</v>
      </c>
      <c r="X26" s="33"/>
    </row>
  </sheetData>
  <mergeCells count="27">
    <mergeCell ref="V8:V9"/>
    <mergeCell ref="N8:N9"/>
    <mergeCell ref="P8:P9"/>
    <mergeCell ref="Q8:R8"/>
    <mergeCell ref="S8:T8"/>
    <mergeCell ref="U8:U9"/>
    <mergeCell ref="G8:G9"/>
    <mergeCell ref="H8:I8"/>
    <mergeCell ref="J8:K8"/>
    <mergeCell ref="L8:L9"/>
    <mergeCell ref="M8:M9"/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opLeftCell="A16" workbookViewId="0">
      <selection activeCell="E13" sqref="E13"/>
    </sheetView>
  </sheetViews>
  <sheetFormatPr defaultRowHeight="15" customHeight="1" x14ac:dyDescent="0.2"/>
  <cols>
    <col min="1" max="1" width="8.625" customWidth="1"/>
    <col min="2" max="2" width="10.75" customWidth="1"/>
    <col min="3" max="3" width="44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1" t="s">
        <v>0</v>
      </c>
      <c r="W5" s="51"/>
      <c r="X5" s="8">
        <v>43009</v>
      </c>
    </row>
    <row r="6" spans="1:24" x14ac:dyDescent="0.2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x14ac:dyDescent="0.25">
      <c r="A7" s="52" t="s">
        <v>5</v>
      </c>
      <c r="B7" s="52"/>
      <c r="C7" s="52" t="s">
        <v>6</v>
      </c>
      <c r="D7" s="52"/>
      <c r="E7" s="52"/>
      <c r="F7" s="52" t="s">
        <v>3</v>
      </c>
      <c r="G7" s="52"/>
      <c r="H7" s="52"/>
      <c r="I7" s="52"/>
      <c r="J7" s="52"/>
      <c r="K7" s="52"/>
      <c r="L7" s="52"/>
      <c r="M7" s="52"/>
      <c r="N7" s="52" t="s">
        <v>7</v>
      </c>
      <c r="O7" s="52"/>
      <c r="P7" s="52"/>
      <c r="Q7" s="52" t="s">
        <v>1</v>
      </c>
      <c r="R7" s="52"/>
      <c r="S7" s="52"/>
      <c r="T7" s="52"/>
      <c r="U7" s="52"/>
      <c r="V7" s="52"/>
      <c r="W7" s="52" t="s">
        <v>8</v>
      </c>
      <c r="X7" s="52" t="s">
        <v>9</v>
      </c>
    </row>
    <row r="8" spans="1:24" s="9" customFormat="1" x14ac:dyDescent="0.25">
      <c r="A8" s="53" t="s">
        <v>10</v>
      </c>
      <c r="B8" s="53" t="s">
        <v>11</v>
      </c>
      <c r="C8" s="53" t="s">
        <v>12</v>
      </c>
      <c r="D8" s="53" t="s">
        <v>13</v>
      </c>
      <c r="E8" s="53" t="s">
        <v>14</v>
      </c>
      <c r="F8" s="53" t="s">
        <v>15</v>
      </c>
      <c r="G8" s="53" t="s">
        <v>16</v>
      </c>
      <c r="H8" s="53" t="s">
        <v>17</v>
      </c>
      <c r="I8" s="53"/>
      <c r="J8" s="54" t="s">
        <v>18</v>
      </c>
      <c r="K8" s="54"/>
      <c r="L8" s="53" t="s">
        <v>19</v>
      </c>
      <c r="M8" s="53" t="s">
        <v>20</v>
      </c>
      <c r="N8" s="54" t="s">
        <v>21</v>
      </c>
      <c r="O8" s="54" t="s">
        <v>22</v>
      </c>
      <c r="P8" s="54" t="s">
        <v>23</v>
      </c>
      <c r="Q8" s="54" t="s">
        <v>24</v>
      </c>
      <c r="R8" s="54"/>
      <c r="S8" s="54" t="s">
        <v>25</v>
      </c>
      <c r="T8" s="54"/>
      <c r="U8" s="53" t="s">
        <v>26</v>
      </c>
      <c r="V8" s="54" t="s">
        <v>23</v>
      </c>
      <c r="W8" s="52"/>
      <c r="X8" s="52"/>
    </row>
    <row r="9" spans="1:24" s="9" customFormat="1" x14ac:dyDescent="0.25">
      <c r="A9" s="53"/>
      <c r="B9" s="53"/>
      <c r="C9" s="53"/>
      <c r="D9" s="53"/>
      <c r="E9" s="53"/>
      <c r="F9" s="53"/>
      <c r="G9" s="53"/>
      <c r="H9" s="10" t="s">
        <v>27</v>
      </c>
      <c r="I9" s="10" t="s">
        <v>28</v>
      </c>
      <c r="J9" s="10" t="s">
        <v>27</v>
      </c>
      <c r="K9" s="11" t="s">
        <v>29</v>
      </c>
      <c r="L9" s="53"/>
      <c r="M9" s="53"/>
      <c r="N9" s="54"/>
      <c r="O9" s="54"/>
      <c r="P9" s="54"/>
      <c r="Q9" s="10" t="s">
        <v>2</v>
      </c>
      <c r="R9" s="11" t="s">
        <v>30</v>
      </c>
      <c r="S9" s="10" t="s">
        <v>2</v>
      </c>
      <c r="T9" s="11" t="s">
        <v>30</v>
      </c>
      <c r="U9" s="53"/>
      <c r="V9" s="54"/>
      <c r="W9" s="52"/>
      <c r="X9" s="52"/>
    </row>
    <row r="10" spans="1:24" ht="25.5" x14ac:dyDescent="0.2">
      <c r="A10" s="27" t="s">
        <v>44</v>
      </c>
      <c r="B10" s="27" t="s">
        <v>138</v>
      </c>
      <c r="C10" s="34" t="s">
        <v>133</v>
      </c>
      <c r="D10" s="29" t="s">
        <v>148</v>
      </c>
      <c r="E10" s="34" t="s">
        <v>84</v>
      </c>
      <c r="F10" s="34" t="s">
        <v>141</v>
      </c>
      <c r="G10" s="30" t="s">
        <v>31</v>
      </c>
      <c r="H10" s="27" t="s">
        <v>32</v>
      </c>
      <c r="I10" s="27" t="s">
        <v>33</v>
      </c>
      <c r="J10" s="27" t="s">
        <v>38</v>
      </c>
      <c r="K10" s="31" t="s">
        <v>39</v>
      </c>
      <c r="L10" s="35">
        <v>43017</v>
      </c>
      <c r="M10" s="35">
        <v>43018</v>
      </c>
      <c r="N10" s="31">
        <f>675.11/2</f>
        <v>337.55500000000001</v>
      </c>
      <c r="O10" s="31">
        <f>675.11/2</f>
        <v>337.55500000000001</v>
      </c>
      <c r="P10" s="31">
        <f t="shared" ref="P10:P23" si="0">N10+O10</f>
        <v>675.11</v>
      </c>
      <c r="Q10" s="27">
        <v>2</v>
      </c>
      <c r="R10" s="31">
        <v>120</v>
      </c>
      <c r="S10" s="27">
        <v>3</v>
      </c>
      <c r="T10" s="31">
        <v>100</v>
      </c>
      <c r="U10" s="32">
        <f t="shared" ref="U10:U23" si="1">(Q10*R10)+(S10*T10)</f>
        <v>540</v>
      </c>
      <c r="V10" s="31">
        <f t="shared" ref="V10:V23" si="2">P10+U10</f>
        <v>1215.1100000000001</v>
      </c>
      <c r="W10" s="31">
        <f t="shared" ref="W10:W23" si="3">V10</f>
        <v>1215.1100000000001</v>
      </c>
      <c r="X10" s="28"/>
    </row>
    <row r="11" spans="1:24" ht="25.5" x14ac:dyDescent="0.2">
      <c r="A11" s="27" t="s">
        <v>44</v>
      </c>
      <c r="B11" s="27" t="s">
        <v>138</v>
      </c>
      <c r="C11" s="27" t="s">
        <v>134</v>
      </c>
      <c r="D11" s="29" t="s">
        <v>149</v>
      </c>
      <c r="E11" s="34" t="s">
        <v>150</v>
      </c>
      <c r="F11" s="34" t="s">
        <v>141</v>
      </c>
      <c r="G11" s="30" t="s">
        <v>31</v>
      </c>
      <c r="H11" s="27" t="s">
        <v>32</v>
      </c>
      <c r="I11" s="27" t="s">
        <v>33</v>
      </c>
      <c r="J11" s="27" t="s">
        <v>38</v>
      </c>
      <c r="K11" s="31" t="s">
        <v>39</v>
      </c>
      <c r="L11" s="35">
        <v>43017</v>
      </c>
      <c r="M11" s="35">
        <v>43018</v>
      </c>
      <c r="N11" s="31">
        <f>709.11/2</f>
        <v>354.55500000000001</v>
      </c>
      <c r="O11" s="31">
        <f>709.11/2</f>
        <v>354.55500000000001</v>
      </c>
      <c r="P11" s="31">
        <f t="shared" si="0"/>
        <v>709.11</v>
      </c>
      <c r="Q11" s="27">
        <v>2</v>
      </c>
      <c r="R11" s="31">
        <v>120</v>
      </c>
      <c r="S11" s="27">
        <v>4</v>
      </c>
      <c r="T11" s="31">
        <v>100</v>
      </c>
      <c r="U11" s="32">
        <f t="shared" si="1"/>
        <v>640</v>
      </c>
      <c r="V11" s="31">
        <f t="shared" si="2"/>
        <v>1349.1100000000001</v>
      </c>
      <c r="W11" s="31">
        <f t="shared" si="3"/>
        <v>1349.1100000000001</v>
      </c>
      <c r="X11" s="33"/>
    </row>
    <row r="12" spans="1:24" ht="25.5" x14ac:dyDescent="0.2">
      <c r="A12" s="27" t="s">
        <v>44</v>
      </c>
      <c r="B12" s="27" t="s">
        <v>138</v>
      </c>
      <c r="C12" s="27" t="s">
        <v>135</v>
      </c>
      <c r="D12" s="29" t="s">
        <v>151</v>
      </c>
      <c r="E12" s="20" t="s">
        <v>152</v>
      </c>
      <c r="F12" s="34" t="s">
        <v>141</v>
      </c>
      <c r="G12" s="30" t="s">
        <v>31</v>
      </c>
      <c r="H12" s="27" t="s">
        <v>32</v>
      </c>
      <c r="I12" s="27" t="s">
        <v>33</v>
      </c>
      <c r="J12" s="27" t="s">
        <v>38</v>
      </c>
      <c r="K12" s="31" t="s">
        <v>39</v>
      </c>
      <c r="L12" s="35">
        <v>43017</v>
      </c>
      <c r="M12" s="35">
        <v>43018</v>
      </c>
      <c r="N12" s="31">
        <f>1555.64/2</f>
        <v>777.82</v>
      </c>
      <c r="O12" s="31">
        <f>1555.64/2</f>
        <v>777.82</v>
      </c>
      <c r="P12" s="31">
        <f t="shared" si="0"/>
        <v>1555.64</v>
      </c>
      <c r="Q12" s="27">
        <v>6</v>
      </c>
      <c r="R12" s="31">
        <v>120</v>
      </c>
      <c r="S12" s="27"/>
      <c r="T12" s="31"/>
      <c r="U12" s="32">
        <f t="shared" si="1"/>
        <v>720</v>
      </c>
      <c r="V12" s="31">
        <f t="shared" si="2"/>
        <v>2275.6400000000003</v>
      </c>
      <c r="W12" s="31">
        <f t="shared" si="3"/>
        <v>2275.6400000000003</v>
      </c>
      <c r="X12" s="33"/>
    </row>
    <row r="13" spans="1:24" ht="25.5" x14ac:dyDescent="0.2">
      <c r="A13" s="27" t="s">
        <v>49</v>
      </c>
      <c r="B13" s="27" t="s">
        <v>137</v>
      </c>
      <c r="C13" s="27" t="s">
        <v>136</v>
      </c>
      <c r="D13" s="29" t="s">
        <v>153</v>
      </c>
      <c r="E13" s="20" t="s">
        <v>154</v>
      </c>
      <c r="F13" s="34" t="s">
        <v>142</v>
      </c>
      <c r="G13" s="30" t="s">
        <v>31</v>
      </c>
      <c r="H13" s="27" t="s">
        <v>32</v>
      </c>
      <c r="I13" s="27" t="s">
        <v>33</v>
      </c>
      <c r="J13" s="27" t="s">
        <v>139</v>
      </c>
      <c r="K13" s="31" t="s">
        <v>140</v>
      </c>
      <c r="L13" s="35">
        <v>43012</v>
      </c>
      <c r="M13" s="35">
        <v>43014</v>
      </c>
      <c r="N13" s="31">
        <f>1015.48/2</f>
        <v>507.74</v>
      </c>
      <c r="O13" s="31">
        <f>1015.48/2</f>
        <v>507.74</v>
      </c>
      <c r="P13" s="31">
        <f t="shared" si="0"/>
        <v>1015.48</v>
      </c>
      <c r="Q13" s="27">
        <v>3</v>
      </c>
      <c r="R13" s="31">
        <v>120</v>
      </c>
      <c r="S13" s="27"/>
      <c r="T13" s="31"/>
      <c r="U13" s="32">
        <f t="shared" si="1"/>
        <v>360</v>
      </c>
      <c r="V13" s="31">
        <f t="shared" si="2"/>
        <v>1375.48</v>
      </c>
      <c r="W13" s="31">
        <f t="shared" si="3"/>
        <v>1375.48</v>
      </c>
      <c r="X13" s="33"/>
    </row>
    <row r="14" spans="1:24" ht="25.5" x14ac:dyDescent="0.2">
      <c r="A14" s="27" t="s">
        <v>49</v>
      </c>
      <c r="B14" s="27" t="s">
        <v>137</v>
      </c>
      <c r="C14" s="27" t="s">
        <v>136</v>
      </c>
      <c r="D14" s="29" t="s">
        <v>153</v>
      </c>
      <c r="E14" s="20" t="s">
        <v>154</v>
      </c>
      <c r="F14" s="34" t="s">
        <v>143</v>
      </c>
      <c r="G14" s="30" t="s">
        <v>31</v>
      </c>
      <c r="H14" s="27" t="s">
        <v>32</v>
      </c>
      <c r="I14" s="27" t="s">
        <v>33</v>
      </c>
      <c r="J14" s="27" t="s">
        <v>38</v>
      </c>
      <c r="K14" s="31" t="s">
        <v>39</v>
      </c>
      <c r="L14" s="35">
        <v>43025</v>
      </c>
      <c r="M14" s="35">
        <v>43028</v>
      </c>
      <c r="N14" s="31">
        <f>965.46/2</f>
        <v>482.73</v>
      </c>
      <c r="O14" s="31">
        <f>965.46/2</f>
        <v>482.73</v>
      </c>
      <c r="P14" s="31">
        <f t="shared" si="0"/>
        <v>965.46</v>
      </c>
      <c r="Q14" s="27">
        <v>4</v>
      </c>
      <c r="R14" s="31">
        <v>120</v>
      </c>
      <c r="S14" s="27"/>
      <c r="T14" s="31"/>
      <c r="U14" s="32">
        <f t="shared" si="1"/>
        <v>480</v>
      </c>
      <c r="V14" s="31">
        <f t="shared" si="2"/>
        <v>1445.46</v>
      </c>
      <c r="W14" s="31">
        <f t="shared" si="3"/>
        <v>1445.46</v>
      </c>
      <c r="X14" s="33"/>
    </row>
    <row r="15" spans="1:24" ht="25.5" x14ac:dyDescent="0.2">
      <c r="A15" s="27" t="s">
        <v>44</v>
      </c>
      <c r="B15" s="27" t="s">
        <v>145</v>
      </c>
      <c r="C15" s="27" t="s">
        <v>144</v>
      </c>
      <c r="D15" s="29" t="s">
        <v>155</v>
      </c>
      <c r="E15" s="20" t="s">
        <v>156</v>
      </c>
      <c r="F15" s="34" t="s">
        <v>142</v>
      </c>
      <c r="G15" s="30" t="s">
        <v>31</v>
      </c>
      <c r="H15" s="27" t="s">
        <v>32</v>
      </c>
      <c r="I15" s="27" t="s">
        <v>33</v>
      </c>
      <c r="J15" s="27" t="s">
        <v>139</v>
      </c>
      <c r="K15" s="31" t="s">
        <v>140</v>
      </c>
      <c r="L15" s="35">
        <v>43012</v>
      </c>
      <c r="M15" s="35">
        <v>43014</v>
      </c>
      <c r="N15" s="31">
        <f>1015.48/2</f>
        <v>507.74</v>
      </c>
      <c r="O15" s="31">
        <f>1015.48/2</f>
        <v>507.74</v>
      </c>
      <c r="P15" s="31">
        <f t="shared" si="0"/>
        <v>1015.48</v>
      </c>
      <c r="Q15" s="27">
        <v>5</v>
      </c>
      <c r="R15" s="31">
        <v>120</v>
      </c>
      <c r="S15" s="27"/>
      <c r="T15" s="31"/>
      <c r="U15" s="32">
        <f t="shared" si="1"/>
        <v>600</v>
      </c>
      <c r="V15" s="31">
        <f t="shared" si="2"/>
        <v>1615.48</v>
      </c>
      <c r="W15" s="31">
        <f t="shared" si="3"/>
        <v>1615.48</v>
      </c>
      <c r="X15" s="33"/>
    </row>
    <row r="16" spans="1:24" ht="38.25" x14ac:dyDescent="0.2">
      <c r="A16" s="27" t="s">
        <v>44</v>
      </c>
      <c r="B16" s="27" t="s">
        <v>145</v>
      </c>
      <c r="C16" s="27" t="s">
        <v>146</v>
      </c>
      <c r="D16" s="29" t="s">
        <v>157</v>
      </c>
      <c r="E16" s="34" t="s">
        <v>158</v>
      </c>
      <c r="F16" s="34" t="s">
        <v>142</v>
      </c>
      <c r="G16" s="30" t="s">
        <v>31</v>
      </c>
      <c r="H16" s="27" t="s">
        <v>32</v>
      </c>
      <c r="I16" s="27" t="s">
        <v>33</v>
      </c>
      <c r="J16" s="27" t="s">
        <v>139</v>
      </c>
      <c r="K16" s="31" t="s">
        <v>140</v>
      </c>
      <c r="L16" s="35">
        <v>43012</v>
      </c>
      <c r="M16" s="35">
        <v>43014</v>
      </c>
      <c r="N16" s="31">
        <f>962.55/2</f>
        <v>481.27499999999998</v>
      </c>
      <c r="O16" s="31">
        <f>962.55/2</f>
        <v>481.27499999999998</v>
      </c>
      <c r="P16" s="31">
        <f t="shared" si="0"/>
        <v>962.55</v>
      </c>
      <c r="Q16" s="27">
        <v>5</v>
      </c>
      <c r="R16" s="31">
        <v>120</v>
      </c>
      <c r="S16" s="27"/>
      <c r="T16" s="31"/>
      <c r="U16" s="32">
        <f t="shared" si="1"/>
        <v>600</v>
      </c>
      <c r="V16" s="31">
        <f t="shared" si="2"/>
        <v>1562.55</v>
      </c>
      <c r="W16" s="31">
        <f t="shared" si="3"/>
        <v>1562.55</v>
      </c>
      <c r="X16" s="33"/>
    </row>
    <row r="17" spans="1:24" ht="38.25" x14ac:dyDescent="0.2">
      <c r="A17" s="27" t="s">
        <v>49</v>
      </c>
      <c r="B17" s="27" t="s">
        <v>137</v>
      </c>
      <c r="C17" s="27" t="s">
        <v>147</v>
      </c>
      <c r="D17" s="29" t="s">
        <v>159</v>
      </c>
      <c r="E17" s="20" t="s">
        <v>160</v>
      </c>
      <c r="F17" s="34" t="s">
        <v>143</v>
      </c>
      <c r="G17" s="30" t="s">
        <v>31</v>
      </c>
      <c r="H17" s="27" t="s">
        <v>32</v>
      </c>
      <c r="I17" s="27" t="s">
        <v>33</v>
      </c>
      <c r="J17" s="27" t="s">
        <v>38</v>
      </c>
      <c r="K17" s="31" t="s">
        <v>39</v>
      </c>
      <c r="L17" s="35">
        <v>43025</v>
      </c>
      <c r="M17" s="35">
        <v>43028</v>
      </c>
      <c r="N17" s="31">
        <f>965.49/2</f>
        <v>482.745</v>
      </c>
      <c r="O17" s="31">
        <f>965.49/2</f>
        <v>482.745</v>
      </c>
      <c r="P17" s="31">
        <f t="shared" si="0"/>
        <v>965.49</v>
      </c>
      <c r="Q17" s="27">
        <v>7</v>
      </c>
      <c r="R17" s="31">
        <v>120</v>
      </c>
      <c r="S17" s="27"/>
      <c r="T17" s="31"/>
      <c r="U17" s="32">
        <f t="shared" si="1"/>
        <v>840</v>
      </c>
      <c r="V17" s="31">
        <f t="shared" si="2"/>
        <v>1805.49</v>
      </c>
      <c r="W17" s="31">
        <f t="shared" si="3"/>
        <v>1805.49</v>
      </c>
      <c r="X17" s="33"/>
    </row>
    <row r="18" spans="1:24" ht="25.5" x14ac:dyDescent="0.2">
      <c r="A18" s="27" t="s">
        <v>34</v>
      </c>
      <c r="B18" s="27" t="s">
        <v>77</v>
      </c>
      <c r="C18" s="27" t="s">
        <v>76</v>
      </c>
      <c r="D18" s="29" t="s">
        <v>78</v>
      </c>
      <c r="E18" s="20" t="s">
        <v>89</v>
      </c>
      <c r="F18" s="34" t="s">
        <v>161</v>
      </c>
      <c r="G18" s="30" t="s">
        <v>31</v>
      </c>
      <c r="H18" s="27" t="s">
        <v>32</v>
      </c>
      <c r="I18" s="27" t="s">
        <v>33</v>
      </c>
      <c r="J18" s="27" t="s">
        <v>38</v>
      </c>
      <c r="K18" s="31" t="s">
        <v>39</v>
      </c>
      <c r="L18" s="35">
        <v>43010</v>
      </c>
      <c r="M18" s="35">
        <v>43013</v>
      </c>
      <c r="N18" s="31">
        <f>1354.13/2</f>
        <v>677.06500000000005</v>
      </c>
      <c r="O18" s="31">
        <f>1354.13/2</f>
        <v>677.06500000000005</v>
      </c>
      <c r="P18" s="31">
        <f t="shared" si="0"/>
        <v>1354.13</v>
      </c>
      <c r="Q18" s="27">
        <v>6</v>
      </c>
      <c r="R18" s="31">
        <v>120</v>
      </c>
      <c r="S18" s="27"/>
      <c r="T18" s="31"/>
      <c r="U18" s="32">
        <f t="shared" si="1"/>
        <v>720</v>
      </c>
      <c r="V18" s="31">
        <f t="shared" si="2"/>
        <v>2074.13</v>
      </c>
      <c r="W18" s="31">
        <f t="shared" si="3"/>
        <v>2074.13</v>
      </c>
      <c r="X18" s="33"/>
    </row>
    <row r="19" spans="1:24" ht="25.5" x14ac:dyDescent="0.2">
      <c r="A19" s="27" t="s">
        <v>44</v>
      </c>
      <c r="B19" s="27" t="s">
        <v>169</v>
      </c>
      <c r="C19" s="27" t="s">
        <v>72</v>
      </c>
      <c r="D19" s="29" t="s">
        <v>104</v>
      </c>
      <c r="E19" s="14" t="s">
        <v>87</v>
      </c>
      <c r="F19" s="34" t="s">
        <v>141</v>
      </c>
      <c r="G19" s="30" t="s">
        <v>31</v>
      </c>
      <c r="H19" s="27" t="s">
        <v>111</v>
      </c>
      <c r="I19" s="27" t="s">
        <v>112</v>
      </c>
      <c r="J19" s="27" t="s">
        <v>38</v>
      </c>
      <c r="K19" s="31" t="s">
        <v>39</v>
      </c>
      <c r="L19" s="35">
        <v>43017</v>
      </c>
      <c r="M19" s="35">
        <v>43018</v>
      </c>
      <c r="N19" s="31">
        <f>637.47/2</f>
        <v>318.73500000000001</v>
      </c>
      <c r="O19" s="31">
        <f>637.47/2</f>
        <v>318.73500000000001</v>
      </c>
      <c r="P19" s="31">
        <f t="shared" si="0"/>
        <v>637.47</v>
      </c>
      <c r="Q19" s="27">
        <v>2</v>
      </c>
      <c r="R19" s="31">
        <v>120</v>
      </c>
      <c r="S19" s="27"/>
      <c r="T19" s="31"/>
      <c r="U19" s="32">
        <f t="shared" si="1"/>
        <v>240</v>
      </c>
      <c r="V19" s="31">
        <f t="shared" si="2"/>
        <v>877.47</v>
      </c>
      <c r="W19" s="31">
        <f t="shared" si="3"/>
        <v>877.47</v>
      </c>
      <c r="X19" s="33"/>
    </row>
    <row r="20" spans="1:24" ht="25.5" x14ac:dyDescent="0.2">
      <c r="A20" s="27" t="s">
        <v>44</v>
      </c>
      <c r="B20" s="27" t="s">
        <v>138</v>
      </c>
      <c r="C20" s="27" t="s">
        <v>134</v>
      </c>
      <c r="D20" s="29" t="s">
        <v>149</v>
      </c>
      <c r="E20" s="20" t="s">
        <v>150</v>
      </c>
      <c r="F20" s="34" t="s">
        <v>162</v>
      </c>
      <c r="G20" s="30" t="s">
        <v>31</v>
      </c>
      <c r="H20" s="27" t="s">
        <v>32</v>
      </c>
      <c r="I20" s="27" t="s">
        <v>33</v>
      </c>
      <c r="J20" s="27" t="s">
        <v>38</v>
      </c>
      <c r="K20" s="31" t="s">
        <v>39</v>
      </c>
      <c r="L20" s="35">
        <v>43024</v>
      </c>
      <c r="M20" s="35">
        <v>43025</v>
      </c>
      <c r="N20" s="31">
        <f>1068.41/2</f>
        <v>534.20500000000004</v>
      </c>
      <c r="O20" s="31">
        <f>1068.41/2</f>
        <v>534.20500000000004</v>
      </c>
      <c r="P20" s="31">
        <f t="shared" si="0"/>
        <v>1068.4100000000001</v>
      </c>
      <c r="Q20" s="27">
        <v>2</v>
      </c>
      <c r="R20" s="31">
        <v>120</v>
      </c>
      <c r="S20" s="27">
        <v>3</v>
      </c>
      <c r="T20" s="31">
        <v>100</v>
      </c>
      <c r="U20" s="32">
        <f t="shared" si="1"/>
        <v>540</v>
      </c>
      <c r="V20" s="31">
        <f t="shared" si="2"/>
        <v>1608.41</v>
      </c>
      <c r="W20" s="31">
        <f t="shared" si="3"/>
        <v>1608.41</v>
      </c>
      <c r="X20" s="33"/>
    </row>
    <row r="21" spans="1:24" ht="25.5" x14ac:dyDescent="0.2">
      <c r="A21" s="27" t="s">
        <v>34</v>
      </c>
      <c r="B21" s="27" t="s">
        <v>77</v>
      </c>
      <c r="C21" s="27" t="s">
        <v>95</v>
      </c>
      <c r="D21" s="29" t="s">
        <v>96</v>
      </c>
      <c r="E21" s="34" t="s">
        <v>171</v>
      </c>
      <c r="F21" s="34" t="s">
        <v>163</v>
      </c>
      <c r="G21" s="30" t="s">
        <v>31</v>
      </c>
      <c r="H21" s="27" t="s">
        <v>32</v>
      </c>
      <c r="I21" s="27" t="s">
        <v>33</v>
      </c>
      <c r="J21" s="27" t="s">
        <v>38</v>
      </c>
      <c r="K21" s="31" t="s">
        <v>39</v>
      </c>
      <c r="L21" s="35">
        <v>43031</v>
      </c>
      <c r="M21" s="35">
        <v>43034</v>
      </c>
      <c r="N21" s="31">
        <f>1472.41/2</f>
        <v>736.20500000000004</v>
      </c>
      <c r="O21" s="31">
        <f>1472.41/2</f>
        <v>736.20500000000004</v>
      </c>
      <c r="P21" s="31">
        <f t="shared" si="0"/>
        <v>1472.41</v>
      </c>
      <c r="Q21" s="27">
        <v>4</v>
      </c>
      <c r="R21" s="31">
        <v>120</v>
      </c>
      <c r="S21" s="27">
        <v>2</v>
      </c>
      <c r="T21" s="31">
        <v>100</v>
      </c>
      <c r="U21" s="32">
        <f t="shared" si="1"/>
        <v>680</v>
      </c>
      <c r="V21" s="31">
        <f t="shared" si="2"/>
        <v>2152.41</v>
      </c>
      <c r="W21" s="31">
        <f t="shared" si="3"/>
        <v>2152.41</v>
      </c>
      <c r="X21" s="33"/>
    </row>
    <row r="22" spans="1:24" ht="25.5" x14ac:dyDescent="0.2">
      <c r="A22" s="27" t="s">
        <v>49</v>
      </c>
      <c r="B22" s="27" t="s">
        <v>50</v>
      </c>
      <c r="C22" s="27" t="s">
        <v>48</v>
      </c>
      <c r="D22" s="29" t="s">
        <v>81</v>
      </c>
      <c r="E22" s="20" t="s">
        <v>56</v>
      </c>
      <c r="F22" s="34" t="s">
        <v>164</v>
      </c>
      <c r="G22" s="30" t="s">
        <v>31</v>
      </c>
      <c r="H22" s="27" t="s">
        <v>32</v>
      </c>
      <c r="I22" s="27" t="s">
        <v>33</v>
      </c>
      <c r="J22" s="27" t="s">
        <v>38</v>
      </c>
      <c r="K22" s="31" t="s">
        <v>39</v>
      </c>
      <c r="L22" s="35">
        <v>43026</v>
      </c>
      <c r="M22" s="35">
        <v>43028</v>
      </c>
      <c r="N22" s="31">
        <f>1742.53/2</f>
        <v>871.26499999999999</v>
      </c>
      <c r="O22" s="31">
        <f>1742.53/2</f>
        <v>871.26499999999999</v>
      </c>
      <c r="P22" s="31">
        <f t="shared" si="0"/>
        <v>1742.53</v>
      </c>
      <c r="Q22" s="27">
        <v>6</v>
      </c>
      <c r="R22" s="31">
        <v>120</v>
      </c>
      <c r="S22" s="27"/>
      <c r="T22" s="31"/>
      <c r="U22" s="32">
        <f t="shared" si="1"/>
        <v>720</v>
      </c>
      <c r="V22" s="31">
        <f t="shared" si="2"/>
        <v>2462.5299999999997</v>
      </c>
      <c r="W22" s="31">
        <f t="shared" si="3"/>
        <v>2462.5299999999997</v>
      </c>
      <c r="X22" s="33"/>
    </row>
    <row r="23" spans="1:24" ht="51" x14ac:dyDescent="0.2">
      <c r="A23" s="27" t="s">
        <v>34</v>
      </c>
      <c r="B23" s="27" t="s">
        <v>35</v>
      </c>
      <c r="C23" s="27" t="s">
        <v>165</v>
      </c>
      <c r="D23" s="29" t="s">
        <v>173</v>
      </c>
      <c r="E23" s="20" t="s">
        <v>174</v>
      </c>
      <c r="F23" s="34" t="s">
        <v>166</v>
      </c>
      <c r="G23" s="30" t="s">
        <v>31</v>
      </c>
      <c r="H23" s="27" t="s">
        <v>32</v>
      </c>
      <c r="I23" s="27" t="s">
        <v>33</v>
      </c>
      <c r="J23" s="27" t="s">
        <v>111</v>
      </c>
      <c r="K23" s="27" t="s">
        <v>112</v>
      </c>
      <c r="L23" s="35">
        <v>43030</v>
      </c>
      <c r="M23" s="35">
        <v>43032</v>
      </c>
      <c r="N23" s="31">
        <f>776.56/2</f>
        <v>388.28</v>
      </c>
      <c r="O23" s="31">
        <f>776.56/2</f>
        <v>388.28</v>
      </c>
      <c r="P23" s="31">
        <f t="shared" si="0"/>
        <v>776.56</v>
      </c>
      <c r="Q23" s="27">
        <v>3</v>
      </c>
      <c r="R23" s="31">
        <v>120</v>
      </c>
      <c r="S23" s="27">
        <v>2</v>
      </c>
      <c r="T23" s="31">
        <v>100</v>
      </c>
      <c r="U23" s="32">
        <f t="shared" si="1"/>
        <v>560</v>
      </c>
      <c r="V23" s="31">
        <f t="shared" si="2"/>
        <v>1336.56</v>
      </c>
      <c r="W23" s="31">
        <f t="shared" si="3"/>
        <v>1336.56</v>
      </c>
      <c r="X23" s="33"/>
    </row>
    <row r="24" spans="1:24" ht="38.25" x14ac:dyDescent="0.2">
      <c r="A24" s="27" t="s">
        <v>34</v>
      </c>
      <c r="B24" s="27" t="s">
        <v>35</v>
      </c>
      <c r="C24" s="27" t="s">
        <v>40</v>
      </c>
      <c r="D24" s="29" t="s">
        <v>172</v>
      </c>
      <c r="E24" s="20" t="s">
        <v>53</v>
      </c>
      <c r="F24" s="34" t="s">
        <v>100</v>
      </c>
      <c r="G24" s="30" t="s">
        <v>31</v>
      </c>
      <c r="H24" s="27" t="s">
        <v>32</v>
      </c>
      <c r="I24" s="27" t="s">
        <v>33</v>
      </c>
      <c r="J24" s="27" t="s">
        <v>111</v>
      </c>
      <c r="K24" s="27" t="s">
        <v>112</v>
      </c>
      <c r="L24" s="35">
        <v>43032</v>
      </c>
      <c r="M24" s="35">
        <v>43034</v>
      </c>
      <c r="N24" s="31">
        <f>618.16/2</f>
        <v>309.08</v>
      </c>
      <c r="O24" s="31">
        <f>618.16/2</f>
        <v>309.08</v>
      </c>
      <c r="P24" s="31">
        <f t="shared" ref="P24:P32" si="4">N24+O24</f>
        <v>618.16</v>
      </c>
      <c r="Q24" s="27">
        <v>3</v>
      </c>
      <c r="R24" s="31">
        <v>120</v>
      </c>
      <c r="S24" s="27"/>
      <c r="T24" s="31"/>
      <c r="U24" s="32">
        <f t="shared" ref="U24:U32" si="5">(Q24*R24)+(S24*T24)</f>
        <v>360</v>
      </c>
      <c r="V24" s="31">
        <f t="shared" ref="V24:V32" si="6">P24+U24</f>
        <v>978.16</v>
      </c>
      <c r="W24" s="31">
        <f t="shared" ref="W24:W32" si="7">V24</f>
        <v>978.16</v>
      </c>
      <c r="X24" s="33"/>
    </row>
    <row r="25" spans="1:24" ht="25.5" x14ac:dyDescent="0.2">
      <c r="A25" s="27" t="s">
        <v>34</v>
      </c>
      <c r="B25" s="27" t="s">
        <v>34</v>
      </c>
      <c r="C25" s="27" t="s">
        <v>46</v>
      </c>
      <c r="D25" s="29" t="s">
        <v>104</v>
      </c>
      <c r="E25" s="20" t="s">
        <v>55</v>
      </c>
      <c r="F25" s="34" t="s">
        <v>167</v>
      </c>
      <c r="G25" s="30" t="s">
        <v>31</v>
      </c>
      <c r="H25" s="27" t="s">
        <v>32</v>
      </c>
      <c r="I25" s="27" t="s">
        <v>33</v>
      </c>
      <c r="J25" s="27" t="s">
        <v>38</v>
      </c>
      <c r="K25" s="31" t="s">
        <v>39</v>
      </c>
      <c r="L25" s="35">
        <v>43027</v>
      </c>
      <c r="M25" s="35">
        <v>43028</v>
      </c>
      <c r="N25" s="31">
        <f>2126/2</f>
        <v>1063</v>
      </c>
      <c r="O25" s="31">
        <f>2126/2</f>
        <v>1063</v>
      </c>
      <c r="P25" s="31">
        <f t="shared" si="4"/>
        <v>2126</v>
      </c>
      <c r="Q25" s="27"/>
      <c r="R25" s="31"/>
      <c r="S25" s="27"/>
      <c r="T25" s="31"/>
      <c r="U25" s="32">
        <f t="shared" si="5"/>
        <v>0</v>
      </c>
      <c r="V25" s="31">
        <f t="shared" si="6"/>
        <v>2126</v>
      </c>
      <c r="W25" s="31">
        <f t="shared" si="7"/>
        <v>2126</v>
      </c>
      <c r="X25" s="33"/>
    </row>
    <row r="26" spans="1:24" ht="25.5" x14ac:dyDescent="0.2">
      <c r="A26" s="27" t="s">
        <v>34</v>
      </c>
      <c r="B26" s="27" t="s">
        <v>77</v>
      </c>
      <c r="C26" s="27" t="s">
        <v>168</v>
      </c>
      <c r="D26" s="29" t="s">
        <v>175</v>
      </c>
      <c r="E26" s="20" t="s">
        <v>176</v>
      </c>
      <c r="F26" s="34" t="s">
        <v>163</v>
      </c>
      <c r="G26" s="30" t="s">
        <v>31</v>
      </c>
      <c r="H26" s="27" t="s">
        <v>32</v>
      </c>
      <c r="I26" s="27" t="s">
        <v>33</v>
      </c>
      <c r="J26" s="27" t="s">
        <v>38</v>
      </c>
      <c r="K26" s="31" t="s">
        <v>39</v>
      </c>
      <c r="L26" s="35">
        <v>43031</v>
      </c>
      <c r="M26" s="35">
        <v>43034</v>
      </c>
      <c r="N26" s="31">
        <f>1472.41/2</f>
        <v>736.20500000000004</v>
      </c>
      <c r="O26" s="31">
        <f>1472.41/2</f>
        <v>736.20500000000004</v>
      </c>
      <c r="P26" s="31">
        <f t="shared" si="4"/>
        <v>1472.41</v>
      </c>
      <c r="Q26" s="27">
        <v>4</v>
      </c>
      <c r="R26" s="31">
        <v>120</v>
      </c>
      <c r="S26" s="27"/>
      <c r="T26" s="31"/>
      <c r="U26" s="32">
        <f t="shared" si="5"/>
        <v>480</v>
      </c>
      <c r="V26" s="31">
        <f t="shared" si="6"/>
        <v>1952.41</v>
      </c>
      <c r="W26" s="31">
        <f t="shared" si="7"/>
        <v>1952.41</v>
      </c>
      <c r="X26" s="33"/>
    </row>
    <row r="27" spans="1:24" ht="25.5" x14ac:dyDescent="0.2">
      <c r="A27" s="27" t="s">
        <v>49</v>
      </c>
      <c r="B27" s="27" t="s">
        <v>50</v>
      </c>
      <c r="C27" s="27" t="s">
        <v>48</v>
      </c>
      <c r="D27" s="29" t="s">
        <v>81</v>
      </c>
      <c r="E27" s="20" t="s">
        <v>56</v>
      </c>
      <c r="F27" s="34" t="s">
        <v>161</v>
      </c>
      <c r="G27" s="30" t="s">
        <v>31</v>
      </c>
      <c r="H27" s="27" t="s">
        <v>32</v>
      </c>
      <c r="I27" s="27" t="s">
        <v>33</v>
      </c>
      <c r="J27" s="27" t="s">
        <v>111</v>
      </c>
      <c r="K27" s="27" t="s">
        <v>112</v>
      </c>
      <c r="L27" s="35">
        <v>43035</v>
      </c>
      <c r="M27" s="35">
        <v>43035</v>
      </c>
      <c r="N27" s="31">
        <f>985.24/2</f>
        <v>492.62</v>
      </c>
      <c r="O27" s="31">
        <f>985.24/2</f>
        <v>492.62</v>
      </c>
      <c r="P27" s="31">
        <f t="shared" si="4"/>
        <v>985.24</v>
      </c>
      <c r="Q27" s="27">
        <v>3</v>
      </c>
      <c r="R27" s="31">
        <v>120</v>
      </c>
      <c r="S27" s="27"/>
      <c r="T27" s="31"/>
      <c r="U27" s="32">
        <f t="shared" si="5"/>
        <v>360</v>
      </c>
      <c r="V27" s="31">
        <f t="shared" si="6"/>
        <v>1345.24</v>
      </c>
      <c r="W27" s="31">
        <f t="shared" si="7"/>
        <v>1345.24</v>
      </c>
      <c r="X27" s="33"/>
    </row>
    <row r="28" spans="1:24" ht="25.5" x14ac:dyDescent="0.2">
      <c r="A28" s="27" t="s">
        <v>49</v>
      </c>
      <c r="B28" s="27" t="s">
        <v>49</v>
      </c>
      <c r="C28" s="27" t="s">
        <v>80</v>
      </c>
      <c r="D28" s="29" t="s">
        <v>104</v>
      </c>
      <c r="E28" s="20" t="s">
        <v>90</v>
      </c>
      <c r="F28" s="34" t="s">
        <v>161</v>
      </c>
      <c r="G28" s="30" t="s">
        <v>31</v>
      </c>
      <c r="H28" s="27" t="s">
        <v>32</v>
      </c>
      <c r="I28" s="27" t="s">
        <v>33</v>
      </c>
      <c r="J28" s="27" t="s">
        <v>111</v>
      </c>
      <c r="K28" s="27" t="s">
        <v>112</v>
      </c>
      <c r="L28" s="35">
        <v>43035</v>
      </c>
      <c r="M28" s="35">
        <v>43035</v>
      </c>
      <c r="N28" s="31">
        <f>985.25/2</f>
        <v>492.625</v>
      </c>
      <c r="O28" s="31">
        <f>985.25/2</f>
        <v>492.625</v>
      </c>
      <c r="P28" s="31">
        <f t="shared" si="4"/>
        <v>985.25</v>
      </c>
      <c r="Q28" s="27"/>
      <c r="R28" s="31"/>
      <c r="S28" s="27"/>
      <c r="T28" s="31"/>
      <c r="U28" s="32">
        <f t="shared" si="5"/>
        <v>0</v>
      </c>
      <c r="V28" s="31">
        <f t="shared" si="6"/>
        <v>985.25</v>
      </c>
      <c r="W28" s="31">
        <f t="shared" si="7"/>
        <v>985.25</v>
      </c>
      <c r="X28" s="33"/>
    </row>
    <row r="29" spans="1:24" ht="25.5" x14ac:dyDescent="0.2">
      <c r="A29" s="27" t="s">
        <v>44</v>
      </c>
      <c r="B29" s="27" t="s">
        <v>169</v>
      </c>
      <c r="C29" s="27" t="s">
        <v>72</v>
      </c>
      <c r="D29" s="29" t="s">
        <v>104</v>
      </c>
      <c r="E29" s="14" t="s">
        <v>87</v>
      </c>
      <c r="F29" s="34" t="s">
        <v>170</v>
      </c>
      <c r="G29" s="30" t="s">
        <v>31</v>
      </c>
      <c r="H29" s="27" t="s">
        <v>32</v>
      </c>
      <c r="I29" s="27" t="s">
        <v>33</v>
      </c>
      <c r="J29" s="27" t="s">
        <v>38</v>
      </c>
      <c r="K29" s="31" t="s">
        <v>39</v>
      </c>
      <c r="L29" s="35">
        <v>43038</v>
      </c>
      <c r="M29" s="35">
        <v>43039</v>
      </c>
      <c r="N29" s="31">
        <f>926.99/2</f>
        <v>463.495</v>
      </c>
      <c r="O29" s="31">
        <f>926.99/2</f>
        <v>463.495</v>
      </c>
      <c r="P29" s="31">
        <f t="shared" si="4"/>
        <v>926.99</v>
      </c>
      <c r="Q29" s="27">
        <v>2</v>
      </c>
      <c r="R29" s="31">
        <v>120</v>
      </c>
      <c r="S29" s="27"/>
      <c r="T29" s="31"/>
      <c r="U29" s="32">
        <f t="shared" si="5"/>
        <v>240</v>
      </c>
      <c r="V29" s="31">
        <f t="shared" si="6"/>
        <v>1166.99</v>
      </c>
      <c r="W29" s="31">
        <f t="shared" si="7"/>
        <v>1166.99</v>
      </c>
      <c r="X29" s="33"/>
    </row>
    <row r="30" spans="1:24" ht="38.25" x14ac:dyDescent="0.2">
      <c r="A30" s="27" t="s">
        <v>44</v>
      </c>
      <c r="B30" s="27" t="s">
        <v>44</v>
      </c>
      <c r="C30" s="27" t="s">
        <v>75</v>
      </c>
      <c r="D30" s="29" t="s">
        <v>104</v>
      </c>
      <c r="E30" s="20" t="s">
        <v>88</v>
      </c>
      <c r="F30" s="34" t="s">
        <v>170</v>
      </c>
      <c r="G30" s="30" t="s">
        <v>31</v>
      </c>
      <c r="H30" s="27" t="s">
        <v>32</v>
      </c>
      <c r="I30" s="27" t="s">
        <v>33</v>
      </c>
      <c r="J30" s="27" t="s">
        <v>38</v>
      </c>
      <c r="K30" s="31" t="s">
        <v>39</v>
      </c>
      <c r="L30" s="35">
        <v>43038</v>
      </c>
      <c r="M30" s="35">
        <v>43039</v>
      </c>
      <c r="N30" s="31">
        <f>1643.19/2</f>
        <v>821.59500000000003</v>
      </c>
      <c r="O30" s="31">
        <f>1643.19/2</f>
        <v>821.59500000000003</v>
      </c>
      <c r="P30" s="31">
        <f t="shared" si="4"/>
        <v>1643.19</v>
      </c>
      <c r="Q30" s="27"/>
      <c r="R30" s="31"/>
      <c r="S30" s="27"/>
      <c r="T30" s="31"/>
      <c r="U30" s="32">
        <f t="shared" si="5"/>
        <v>0</v>
      </c>
      <c r="V30" s="31">
        <f t="shared" si="6"/>
        <v>1643.19</v>
      </c>
      <c r="W30" s="31">
        <f t="shared" si="7"/>
        <v>1643.19</v>
      </c>
      <c r="X30" s="33"/>
    </row>
    <row r="31" spans="1:24" ht="25.5" x14ac:dyDescent="0.2">
      <c r="A31" s="27" t="s">
        <v>49</v>
      </c>
      <c r="B31" s="27" t="s">
        <v>49</v>
      </c>
      <c r="C31" s="27" t="s">
        <v>80</v>
      </c>
      <c r="D31" s="29" t="s">
        <v>104</v>
      </c>
      <c r="E31" s="20" t="s">
        <v>90</v>
      </c>
      <c r="F31" s="34" t="s">
        <v>47</v>
      </c>
      <c r="G31" s="30" t="s">
        <v>31</v>
      </c>
      <c r="H31" s="27" t="s">
        <v>32</v>
      </c>
      <c r="I31" s="27" t="s">
        <v>33</v>
      </c>
      <c r="J31" s="27" t="s">
        <v>38</v>
      </c>
      <c r="K31" s="31" t="s">
        <v>39</v>
      </c>
      <c r="L31" s="35">
        <v>43039</v>
      </c>
      <c r="M31" s="35">
        <v>43039</v>
      </c>
      <c r="N31" s="31">
        <f>1643.2/2</f>
        <v>821.6</v>
      </c>
      <c r="O31" s="31">
        <f>1643.2/2</f>
        <v>821.6</v>
      </c>
      <c r="P31" s="31">
        <f t="shared" si="4"/>
        <v>1643.2</v>
      </c>
      <c r="Q31" s="27"/>
      <c r="R31" s="31"/>
      <c r="S31" s="27"/>
      <c r="T31" s="31"/>
      <c r="U31" s="32">
        <f t="shared" si="5"/>
        <v>0</v>
      </c>
      <c r="V31" s="31">
        <f t="shared" si="6"/>
        <v>1643.2</v>
      </c>
      <c r="W31" s="31">
        <f t="shared" si="7"/>
        <v>1643.2</v>
      </c>
      <c r="X31" s="33"/>
    </row>
    <row r="32" spans="1:24" ht="25.5" x14ac:dyDescent="0.2">
      <c r="A32" s="27" t="s">
        <v>34</v>
      </c>
      <c r="B32" s="27" t="s">
        <v>34</v>
      </c>
      <c r="C32" s="27" t="s">
        <v>46</v>
      </c>
      <c r="D32" s="29" t="s">
        <v>104</v>
      </c>
      <c r="E32" s="20" t="s">
        <v>55</v>
      </c>
      <c r="F32" s="34" t="s">
        <v>47</v>
      </c>
      <c r="G32" s="30" t="s">
        <v>31</v>
      </c>
      <c r="H32" s="27" t="s">
        <v>32</v>
      </c>
      <c r="I32" s="27" t="s">
        <v>33</v>
      </c>
      <c r="J32" s="27" t="s">
        <v>38</v>
      </c>
      <c r="K32" s="31" t="s">
        <v>39</v>
      </c>
      <c r="L32" s="35">
        <v>43038</v>
      </c>
      <c r="M32" s="35">
        <v>43040</v>
      </c>
      <c r="N32" s="31">
        <f>926.98/2</f>
        <v>463.49</v>
      </c>
      <c r="O32" s="31">
        <f>926.98/2</f>
        <v>463.49</v>
      </c>
      <c r="P32" s="31">
        <f t="shared" si="4"/>
        <v>926.98</v>
      </c>
      <c r="Q32" s="27"/>
      <c r="R32" s="31"/>
      <c r="S32" s="27"/>
      <c r="T32" s="31"/>
      <c r="U32" s="32">
        <f t="shared" si="5"/>
        <v>0</v>
      </c>
      <c r="V32" s="31">
        <f t="shared" si="6"/>
        <v>926.98</v>
      </c>
      <c r="W32" s="31">
        <f t="shared" si="7"/>
        <v>926.98</v>
      </c>
      <c r="X32" s="33"/>
    </row>
  </sheetData>
  <mergeCells count="27"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V8:V9"/>
    <mergeCell ref="N8:N9"/>
    <mergeCell ref="P8:P9"/>
    <mergeCell ref="Q8:R8"/>
    <mergeCell ref="S8:T8"/>
    <mergeCell ref="U8:U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opLeftCell="A7" workbookViewId="0">
      <selection activeCell="D21" sqref="D21:E21"/>
    </sheetView>
  </sheetViews>
  <sheetFormatPr defaultRowHeight="15" customHeight="1" x14ac:dyDescent="0.2"/>
  <cols>
    <col min="1" max="1" width="8.625" customWidth="1"/>
    <col min="2" max="2" width="10.75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1" t="s">
        <v>0</v>
      </c>
      <c r="W5" s="51"/>
      <c r="X5" s="8">
        <v>43009</v>
      </c>
    </row>
    <row r="6" spans="1:24" x14ac:dyDescent="0.2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x14ac:dyDescent="0.25">
      <c r="A7" s="52" t="s">
        <v>5</v>
      </c>
      <c r="B7" s="52"/>
      <c r="C7" s="52" t="s">
        <v>6</v>
      </c>
      <c r="D7" s="52"/>
      <c r="E7" s="52"/>
      <c r="F7" s="52" t="s">
        <v>3</v>
      </c>
      <c r="G7" s="52"/>
      <c r="H7" s="52"/>
      <c r="I7" s="52"/>
      <c r="J7" s="52"/>
      <c r="K7" s="52"/>
      <c r="L7" s="52"/>
      <c r="M7" s="52"/>
      <c r="N7" s="52" t="s">
        <v>7</v>
      </c>
      <c r="O7" s="52"/>
      <c r="P7" s="52"/>
      <c r="Q7" s="52" t="s">
        <v>1</v>
      </c>
      <c r="R7" s="52"/>
      <c r="S7" s="52"/>
      <c r="T7" s="52"/>
      <c r="U7" s="52"/>
      <c r="V7" s="52"/>
      <c r="W7" s="52" t="s">
        <v>8</v>
      </c>
      <c r="X7" s="52" t="s">
        <v>9</v>
      </c>
    </row>
    <row r="8" spans="1:24" s="9" customFormat="1" x14ac:dyDescent="0.25">
      <c r="A8" s="53" t="s">
        <v>10</v>
      </c>
      <c r="B8" s="53" t="s">
        <v>11</v>
      </c>
      <c r="C8" s="53" t="s">
        <v>12</v>
      </c>
      <c r="D8" s="53" t="s">
        <v>13</v>
      </c>
      <c r="E8" s="53" t="s">
        <v>14</v>
      </c>
      <c r="F8" s="53" t="s">
        <v>15</v>
      </c>
      <c r="G8" s="53" t="s">
        <v>16</v>
      </c>
      <c r="H8" s="53" t="s">
        <v>17</v>
      </c>
      <c r="I8" s="53"/>
      <c r="J8" s="54" t="s">
        <v>18</v>
      </c>
      <c r="K8" s="54"/>
      <c r="L8" s="53" t="s">
        <v>19</v>
      </c>
      <c r="M8" s="53" t="s">
        <v>20</v>
      </c>
      <c r="N8" s="54" t="s">
        <v>21</v>
      </c>
      <c r="O8" s="54" t="s">
        <v>22</v>
      </c>
      <c r="P8" s="54" t="s">
        <v>23</v>
      </c>
      <c r="Q8" s="54" t="s">
        <v>24</v>
      </c>
      <c r="R8" s="54"/>
      <c r="S8" s="54" t="s">
        <v>25</v>
      </c>
      <c r="T8" s="54"/>
      <c r="U8" s="53" t="s">
        <v>26</v>
      </c>
      <c r="V8" s="54" t="s">
        <v>23</v>
      </c>
      <c r="W8" s="52"/>
      <c r="X8" s="52"/>
    </row>
    <row r="9" spans="1:24" s="9" customFormat="1" x14ac:dyDescent="0.25">
      <c r="A9" s="53"/>
      <c r="B9" s="53"/>
      <c r="C9" s="53"/>
      <c r="D9" s="53"/>
      <c r="E9" s="53"/>
      <c r="F9" s="53"/>
      <c r="G9" s="53"/>
      <c r="H9" s="10" t="s">
        <v>27</v>
      </c>
      <c r="I9" s="10" t="s">
        <v>28</v>
      </c>
      <c r="J9" s="10" t="s">
        <v>27</v>
      </c>
      <c r="K9" s="11" t="s">
        <v>29</v>
      </c>
      <c r="L9" s="53"/>
      <c r="M9" s="53"/>
      <c r="N9" s="54"/>
      <c r="O9" s="54"/>
      <c r="P9" s="54"/>
      <c r="Q9" s="10" t="s">
        <v>2</v>
      </c>
      <c r="R9" s="11" t="s">
        <v>30</v>
      </c>
      <c r="S9" s="10" t="s">
        <v>2</v>
      </c>
      <c r="T9" s="11" t="s">
        <v>30</v>
      </c>
      <c r="U9" s="53"/>
      <c r="V9" s="54"/>
      <c r="W9" s="52"/>
      <c r="X9" s="52"/>
    </row>
    <row r="10" spans="1:24" ht="25.5" x14ac:dyDescent="0.2">
      <c r="A10" s="27" t="s">
        <v>44</v>
      </c>
      <c r="B10" s="27" t="s">
        <v>138</v>
      </c>
      <c r="C10" s="34" t="s">
        <v>135</v>
      </c>
      <c r="D10" s="29" t="s">
        <v>151</v>
      </c>
      <c r="E10" s="34" t="s">
        <v>152</v>
      </c>
      <c r="F10" s="34" t="s">
        <v>177</v>
      </c>
      <c r="G10" s="30" t="s">
        <v>31</v>
      </c>
      <c r="H10" s="27" t="s">
        <v>32</v>
      </c>
      <c r="I10" s="27" t="s">
        <v>33</v>
      </c>
      <c r="J10" s="27" t="s">
        <v>61</v>
      </c>
      <c r="K10" s="31" t="s">
        <v>62</v>
      </c>
      <c r="L10" s="35">
        <v>43047</v>
      </c>
      <c r="M10" s="35">
        <v>43049</v>
      </c>
      <c r="N10" s="31">
        <f>740.95/2</f>
        <v>370.47500000000002</v>
      </c>
      <c r="O10" s="31">
        <f>740.95/2</f>
        <v>370.47500000000002</v>
      </c>
      <c r="P10" s="31">
        <f t="shared" ref="P10:P30" si="0">N10+O10</f>
        <v>740.95</v>
      </c>
      <c r="Q10" s="27">
        <v>7</v>
      </c>
      <c r="R10" s="31">
        <v>120</v>
      </c>
      <c r="S10" s="27"/>
      <c r="T10" s="31"/>
      <c r="U10" s="32">
        <f t="shared" ref="U10" si="1">(Q10*R10)+(S10*T10)</f>
        <v>840</v>
      </c>
      <c r="V10" s="31">
        <f t="shared" ref="V10" si="2">P10+U10</f>
        <v>1580.95</v>
      </c>
      <c r="W10" s="31">
        <f t="shared" ref="W10" si="3">V10</f>
        <v>1580.95</v>
      </c>
      <c r="X10" s="28"/>
    </row>
    <row r="11" spans="1:24" ht="38.25" x14ac:dyDescent="0.2">
      <c r="A11" s="27" t="s">
        <v>44</v>
      </c>
      <c r="B11" s="27" t="s">
        <v>138</v>
      </c>
      <c r="C11" s="27" t="s">
        <v>178</v>
      </c>
      <c r="D11" s="29" t="s">
        <v>179</v>
      </c>
      <c r="E11" s="34" t="s">
        <v>206</v>
      </c>
      <c r="F11" s="34" t="s">
        <v>177</v>
      </c>
      <c r="G11" s="30" t="s">
        <v>31</v>
      </c>
      <c r="H11" s="27" t="s">
        <v>32</v>
      </c>
      <c r="I11" s="27" t="s">
        <v>33</v>
      </c>
      <c r="J11" s="27" t="s">
        <v>61</v>
      </c>
      <c r="K11" s="31" t="s">
        <v>62</v>
      </c>
      <c r="L11" s="35">
        <v>43047</v>
      </c>
      <c r="M11" s="35">
        <v>43049</v>
      </c>
      <c r="N11" s="31">
        <f>722/2</f>
        <v>361</v>
      </c>
      <c r="O11" s="31">
        <f>722/2</f>
        <v>361</v>
      </c>
      <c r="P11" s="31">
        <f t="shared" si="0"/>
        <v>722</v>
      </c>
      <c r="Q11" s="27">
        <v>3</v>
      </c>
      <c r="R11" s="31">
        <v>120</v>
      </c>
      <c r="S11" s="27"/>
      <c r="T11" s="31"/>
      <c r="U11" s="32">
        <f t="shared" ref="U11:U30" si="4">(Q11*R11)+(S11*T11)</f>
        <v>360</v>
      </c>
      <c r="V11" s="31">
        <f t="shared" ref="V11:V30" si="5">P11+U11</f>
        <v>1082</v>
      </c>
      <c r="W11" s="31">
        <f t="shared" ref="W11:W30" si="6">V11</f>
        <v>1082</v>
      </c>
      <c r="X11" s="33"/>
    </row>
    <row r="12" spans="1:24" ht="25.5" x14ac:dyDescent="0.2">
      <c r="A12" s="27" t="s">
        <v>34</v>
      </c>
      <c r="B12" s="27" t="s">
        <v>34</v>
      </c>
      <c r="C12" s="27" t="s">
        <v>46</v>
      </c>
      <c r="D12" s="29" t="s">
        <v>104</v>
      </c>
      <c r="E12" s="20" t="s">
        <v>55</v>
      </c>
      <c r="F12" s="34" t="s">
        <v>180</v>
      </c>
      <c r="G12" s="30" t="s">
        <v>31</v>
      </c>
      <c r="H12" s="27" t="s">
        <v>32</v>
      </c>
      <c r="I12" s="27" t="s">
        <v>33</v>
      </c>
      <c r="J12" s="27" t="s">
        <v>38</v>
      </c>
      <c r="K12" s="31" t="s">
        <v>39</v>
      </c>
      <c r="L12" s="35">
        <v>43046</v>
      </c>
      <c r="M12" s="35">
        <v>43048</v>
      </c>
      <c r="N12" s="31">
        <f>541.24/2</f>
        <v>270.62</v>
      </c>
      <c r="O12" s="31">
        <f>541.24/2</f>
        <v>270.62</v>
      </c>
      <c r="P12" s="31">
        <f t="shared" si="0"/>
        <v>541.24</v>
      </c>
      <c r="Q12" s="27"/>
      <c r="R12" s="31"/>
      <c r="S12" s="27"/>
      <c r="T12" s="31"/>
      <c r="U12" s="32">
        <f t="shared" si="4"/>
        <v>0</v>
      </c>
      <c r="V12" s="31">
        <f t="shared" si="5"/>
        <v>541.24</v>
      </c>
      <c r="W12" s="31">
        <f t="shared" si="6"/>
        <v>541.24</v>
      </c>
      <c r="X12" s="33"/>
    </row>
    <row r="13" spans="1:24" ht="38.25" x14ac:dyDescent="0.2">
      <c r="A13" s="27" t="s">
        <v>44</v>
      </c>
      <c r="B13" s="27" t="s">
        <v>44</v>
      </c>
      <c r="C13" s="27" t="s">
        <v>75</v>
      </c>
      <c r="D13" s="29" t="s">
        <v>104</v>
      </c>
      <c r="E13" s="20" t="s">
        <v>88</v>
      </c>
      <c r="F13" s="34" t="s">
        <v>180</v>
      </c>
      <c r="G13" s="30" t="s">
        <v>31</v>
      </c>
      <c r="H13" s="27" t="s">
        <v>32</v>
      </c>
      <c r="I13" s="27" t="s">
        <v>33</v>
      </c>
      <c r="J13" s="27" t="s">
        <v>38</v>
      </c>
      <c r="K13" s="31" t="s">
        <v>39</v>
      </c>
      <c r="L13" s="35">
        <v>43046</v>
      </c>
      <c r="M13" s="35">
        <v>43047</v>
      </c>
      <c r="N13" s="31">
        <f>587.02/2</f>
        <v>293.51</v>
      </c>
      <c r="O13" s="31">
        <f>587.02/2</f>
        <v>293.51</v>
      </c>
      <c r="P13" s="31">
        <f t="shared" si="0"/>
        <v>587.02</v>
      </c>
      <c r="Q13" s="27"/>
      <c r="R13" s="31"/>
      <c r="S13" s="27"/>
      <c r="T13" s="31"/>
      <c r="U13" s="32">
        <f t="shared" si="4"/>
        <v>0</v>
      </c>
      <c r="V13" s="31">
        <f t="shared" si="5"/>
        <v>587.02</v>
      </c>
      <c r="W13" s="31">
        <f t="shared" si="6"/>
        <v>587.02</v>
      </c>
      <c r="X13" s="33"/>
    </row>
    <row r="14" spans="1:24" ht="25.5" x14ac:dyDescent="0.2">
      <c r="A14" s="27" t="s">
        <v>34</v>
      </c>
      <c r="B14" s="27" t="s">
        <v>35</v>
      </c>
      <c r="C14" s="27" t="s">
        <v>36</v>
      </c>
      <c r="D14" s="29" t="s">
        <v>57</v>
      </c>
      <c r="E14" s="14" t="s">
        <v>52</v>
      </c>
      <c r="F14" s="34" t="s">
        <v>161</v>
      </c>
      <c r="G14" s="30" t="s">
        <v>31</v>
      </c>
      <c r="H14" s="27" t="s">
        <v>32</v>
      </c>
      <c r="I14" s="27" t="s">
        <v>33</v>
      </c>
      <c r="J14" s="27" t="s">
        <v>38</v>
      </c>
      <c r="K14" s="31" t="s">
        <v>39</v>
      </c>
      <c r="L14" s="35">
        <v>43046</v>
      </c>
      <c r="M14" s="35">
        <v>43049</v>
      </c>
      <c r="N14" s="31">
        <f>619.79/2</f>
        <v>309.89499999999998</v>
      </c>
      <c r="O14" s="31">
        <f>619.79/2</f>
        <v>309.89499999999998</v>
      </c>
      <c r="P14" s="31">
        <f t="shared" si="0"/>
        <v>619.79</v>
      </c>
      <c r="Q14" s="27">
        <v>4</v>
      </c>
      <c r="R14" s="31">
        <v>120</v>
      </c>
      <c r="S14" s="27"/>
      <c r="T14" s="31"/>
      <c r="U14" s="32">
        <f t="shared" si="4"/>
        <v>480</v>
      </c>
      <c r="V14" s="31">
        <f t="shared" si="5"/>
        <v>1099.79</v>
      </c>
      <c r="W14" s="31">
        <f t="shared" si="6"/>
        <v>1099.79</v>
      </c>
      <c r="X14" s="33"/>
    </row>
    <row r="15" spans="1:24" ht="25.5" x14ac:dyDescent="0.2">
      <c r="A15" s="27" t="s">
        <v>49</v>
      </c>
      <c r="B15" s="27" t="s">
        <v>49</v>
      </c>
      <c r="C15" s="27" t="s">
        <v>80</v>
      </c>
      <c r="D15" s="29" t="s">
        <v>104</v>
      </c>
      <c r="E15" s="20" t="s">
        <v>90</v>
      </c>
      <c r="F15" s="34" t="s">
        <v>182</v>
      </c>
      <c r="G15" s="30" t="s">
        <v>31</v>
      </c>
      <c r="H15" s="27" t="s">
        <v>32</v>
      </c>
      <c r="I15" s="27" t="s">
        <v>33</v>
      </c>
      <c r="J15" s="27" t="s">
        <v>139</v>
      </c>
      <c r="K15" s="31" t="s">
        <v>181</v>
      </c>
      <c r="L15" s="35">
        <v>43061</v>
      </c>
      <c r="M15" s="35">
        <v>43062</v>
      </c>
      <c r="N15" s="31">
        <f>738.28/2</f>
        <v>369.14</v>
      </c>
      <c r="O15" s="31">
        <f>738.28/2</f>
        <v>369.14</v>
      </c>
      <c r="P15" s="31">
        <f t="shared" si="0"/>
        <v>738.28</v>
      </c>
      <c r="Q15" s="27"/>
      <c r="R15" s="31"/>
      <c r="S15" s="27"/>
      <c r="T15" s="31"/>
      <c r="U15" s="32">
        <f t="shared" si="4"/>
        <v>0</v>
      </c>
      <c r="V15" s="31">
        <f t="shared" si="5"/>
        <v>738.28</v>
      </c>
      <c r="W15" s="31">
        <f t="shared" si="6"/>
        <v>738.28</v>
      </c>
      <c r="X15" s="33"/>
    </row>
    <row r="16" spans="1:24" ht="25.5" x14ac:dyDescent="0.2">
      <c r="A16" s="27" t="s">
        <v>49</v>
      </c>
      <c r="B16" s="27" t="s">
        <v>50</v>
      </c>
      <c r="C16" s="27" t="s">
        <v>48</v>
      </c>
      <c r="D16" s="29" t="s">
        <v>81</v>
      </c>
      <c r="E16" s="20" t="s">
        <v>56</v>
      </c>
      <c r="F16" s="34" t="s">
        <v>182</v>
      </c>
      <c r="G16" s="30" t="s">
        <v>31</v>
      </c>
      <c r="H16" s="27" t="s">
        <v>32</v>
      </c>
      <c r="I16" s="27" t="s">
        <v>33</v>
      </c>
      <c r="J16" s="27" t="s">
        <v>139</v>
      </c>
      <c r="K16" s="31" t="s">
        <v>181</v>
      </c>
      <c r="L16" s="35">
        <v>43061</v>
      </c>
      <c r="M16" s="35">
        <v>43062</v>
      </c>
      <c r="N16" s="31">
        <f>738.28/2</f>
        <v>369.14</v>
      </c>
      <c r="O16" s="31">
        <f>738.28/2</f>
        <v>369.14</v>
      </c>
      <c r="P16" s="31">
        <f t="shared" si="0"/>
        <v>738.28</v>
      </c>
      <c r="Q16" s="27">
        <v>4</v>
      </c>
      <c r="R16" s="31">
        <v>120</v>
      </c>
      <c r="S16" s="27"/>
      <c r="T16" s="31"/>
      <c r="U16" s="32">
        <f t="shared" si="4"/>
        <v>480</v>
      </c>
      <c r="V16" s="31">
        <f t="shared" si="5"/>
        <v>1218.28</v>
      </c>
      <c r="W16" s="31">
        <f t="shared" si="6"/>
        <v>1218.28</v>
      </c>
      <c r="X16" s="33"/>
    </row>
    <row r="17" spans="1:24" ht="25.5" x14ac:dyDescent="0.2">
      <c r="A17" s="27" t="s">
        <v>49</v>
      </c>
      <c r="B17" s="27" t="s">
        <v>125</v>
      </c>
      <c r="C17" s="27" t="s">
        <v>123</v>
      </c>
      <c r="D17" s="29" t="s">
        <v>124</v>
      </c>
      <c r="E17" s="34" t="s">
        <v>132</v>
      </c>
      <c r="F17" s="34" t="s">
        <v>187</v>
      </c>
      <c r="G17" s="30" t="s">
        <v>31</v>
      </c>
      <c r="H17" s="27" t="s">
        <v>32</v>
      </c>
      <c r="I17" s="27" t="s">
        <v>33</v>
      </c>
      <c r="J17" s="27" t="s">
        <v>106</v>
      </c>
      <c r="K17" s="31" t="s">
        <v>107</v>
      </c>
      <c r="L17" s="35">
        <v>43062</v>
      </c>
      <c r="M17" s="35">
        <v>43063</v>
      </c>
      <c r="N17" s="31">
        <f>1110.08/2</f>
        <v>555.04</v>
      </c>
      <c r="O17" s="31">
        <f>1110.08/2</f>
        <v>555.04</v>
      </c>
      <c r="P17" s="31">
        <f t="shared" si="0"/>
        <v>1110.08</v>
      </c>
      <c r="Q17" s="27">
        <v>2</v>
      </c>
      <c r="R17" s="31">
        <v>120</v>
      </c>
      <c r="S17" s="27"/>
      <c r="T17" s="31"/>
      <c r="U17" s="32">
        <f t="shared" si="4"/>
        <v>240</v>
      </c>
      <c r="V17" s="31">
        <f t="shared" si="5"/>
        <v>1350.08</v>
      </c>
      <c r="W17" s="31">
        <f t="shared" si="6"/>
        <v>1350.08</v>
      </c>
      <c r="X17" s="33"/>
    </row>
    <row r="18" spans="1:24" ht="38.25" x14ac:dyDescent="0.2">
      <c r="A18" s="27" t="s">
        <v>34</v>
      </c>
      <c r="B18" s="27" t="s">
        <v>109</v>
      </c>
      <c r="C18" s="27" t="s">
        <v>183</v>
      </c>
      <c r="D18" s="29" t="s">
        <v>188</v>
      </c>
      <c r="E18" s="20" t="s">
        <v>207</v>
      </c>
      <c r="F18" s="34" t="s">
        <v>187</v>
      </c>
      <c r="G18" s="30" t="s">
        <v>31</v>
      </c>
      <c r="H18" s="27" t="s">
        <v>32</v>
      </c>
      <c r="I18" s="27" t="s">
        <v>33</v>
      </c>
      <c r="J18" s="27" t="s">
        <v>106</v>
      </c>
      <c r="K18" s="31" t="s">
        <v>107</v>
      </c>
      <c r="L18" s="35">
        <v>43062</v>
      </c>
      <c r="M18" s="35">
        <v>43063</v>
      </c>
      <c r="N18" s="31">
        <f>2001.08/2</f>
        <v>1000.54</v>
      </c>
      <c r="O18" s="31">
        <f>2001.08/2</f>
        <v>1000.54</v>
      </c>
      <c r="P18" s="31">
        <f t="shared" si="0"/>
        <v>2001.08</v>
      </c>
      <c r="Q18" s="27">
        <v>2</v>
      </c>
      <c r="R18" s="31">
        <v>120</v>
      </c>
      <c r="S18" s="27"/>
      <c r="T18" s="31"/>
      <c r="U18" s="32">
        <f t="shared" si="4"/>
        <v>240</v>
      </c>
      <c r="V18" s="31">
        <f t="shared" si="5"/>
        <v>2241.08</v>
      </c>
      <c r="W18" s="31">
        <f t="shared" si="6"/>
        <v>2241.08</v>
      </c>
      <c r="X18" s="33"/>
    </row>
    <row r="19" spans="1:24" ht="51" x14ac:dyDescent="0.2">
      <c r="A19" s="27" t="s">
        <v>34</v>
      </c>
      <c r="B19" s="27" t="s">
        <v>186</v>
      </c>
      <c r="C19" s="27" t="s">
        <v>184</v>
      </c>
      <c r="D19" s="29" t="s">
        <v>189</v>
      </c>
      <c r="E19" s="14" t="s">
        <v>208</v>
      </c>
      <c r="F19" s="34" t="s">
        <v>187</v>
      </c>
      <c r="G19" s="30" t="s">
        <v>31</v>
      </c>
      <c r="H19" s="27" t="s">
        <v>32</v>
      </c>
      <c r="I19" s="27" t="s">
        <v>33</v>
      </c>
      <c r="J19" s="27" t="s">
        <v>106</v>
      </c>
      <c r="K19" s="31" t="s">
        <v>107</v>
      </c>
      <c r="L19" s="35">
        <v>43062</v>
      </c>
      <c r="M19" s="35">
        <v>43063</v>
      </c>
      <c r="N19" s="31">
        <f>1506.07/2</f>
        <v>753.03499999999997</v>
      </c>
      <c r="O19" s="31">
        <f>1506.07/2</f>
        <v>753.03499999999997</v>
      </c>
      <c r="P19" s="31">
        <f t="shared" si="0"/>
        <v>1506.07</v>
      </c>
      <c r="Q19" s="27">
        <v>2</v>
      </c>
      <c r="R19" s="31">
        <v>120</v>
      </c>
      <c r="S19" s="27"/>
      <c r="T19" s="31"/>
      <c r="U19" s="32">
        <f t="shared" si="4"/>
        <v>240</v>
      </c>
      <c r="V19" s="31">
        <f t="shared" si="5"/>
        <v>1746.07</v>
      </c>
      <c r="W19" s="31">
        <f t="shared" si="6"/>
        <v>1746.07</v>
      </c>
      <c r="X19" s="33"/>
    </row>
    <row r="20" spans="1:24" ht="25.5" x14ac:dyDescent="0.2">
      <c r="A20" s="27" t="s">
        <v>34</v>
      </c>
      <c r="B20" s="27" t="s">
        <v>186</v>
      </c>
      <c r="C20" s="27" t="s">
        <v>185</v>
      </c>
      <c r="D20" s="29" t="s">
        <v>190</v>
      </c>
      <c r="E20" s="20" t="s">
        <v>129</v>
      </c>
      <c r="F20" s="34" t="s">
        <v>187</v>
      </c>
      <c r="G20" s="30" t="s">
        <v>31</v>
      </c>
      <c r="H20" s="27" t="s">
        <v>32</v>
      </c>
      <c r="I20" s="27" t="s">
        <v>33</v>
      </c>
      <c r="J20" s="27" t="s">
        <v>106</v>
      </c>
      <c r="K20" s="31" t="s">
        <v>107</v>
      </c>
      <c r="L20" s="35">
        <v>43062</v>
      </c>
      <c r="M20" s="35">
        <v>43063</v>
      </c>
      <c r="N20" s="31">
        <f>1506.08/2</f>
        <v>753.04</v>
      </c>
      <c r="O20" s="31">
        <f>1506.08/2</f>
        <v>753.04</v>
      </c>
      <c r="P20" s="31">
        <f t="shared" si="0"/>
        <v>1506.08</v>
      </c>
      <c r="Q20" s="27">
        <v>2</v>
      </c>
      <c r="R20" s="31">
        <v>120</v>
      </c>
      <c r="S20" s="27"/>
      <c r="T20" s="31"/>
      <c r="U20" s="32">
        <f t="shared" si="4"/>
        <v>240</v>
      </c>
      <c r="V20" s="31">
        <f t="shared" si="5"/>
        <v>1746.08</v>
      </c>
      <c r="W20" s="31">
        <f t="shared" si="6"/>
        <v>1746.08</v>
      </c>
      <c r="X20" s="33"/>
    </row>
    <row r="21" spans="1:24" ht="38.25" x14ac:dyDescent="0.2">
      <c r="A21" s="27" t="s">
        <v>44</v>
      </c>
      <c r="B21" s="27" t="s">
        <v>193</v>
      </c>
      <c r="C21" s="27" t="s">
        <v>191</v>
      </c>
      <c r="D21" s="29" t="s">
        <v>196</v>
      </c>
      <c r="E21" s="20" t="s">
        <v>209</v>
      </c>
      <c r="F21" s="34" t="s">
        <v>198</v>
      </c>
      <c r="G21" s="30" t="s">
        <v>31</v>
      </c>
      <c r="H21" s="27" t="s">
        <v>32</v>
      </c>
      <c r="I21" s="27" t="s">
        <v>33</v>
      </c>
      <c r="J21" s="27" t="s">
        <v>195</v>
      </c>
      <c r="K21" s="31" t="s">
        <v>194</v>
      </c>
      <c r="L21" s="35">
        <v>43061</v>
      </c>
      <c r="M21" s="35">
        <v>43063</v>
      </c>
      <c r="N21" s="31">
        <f>1461.64/2</f>
        <v>730.82</v>
      </c>
      <c r="O21" s="31">
        <f>1461.64/2</f>
        <v>730.82</v>
      </c>
      <c r="P21" s="31">
        <f t="shared" si="0"/>
        <v>1461.64</v>
      </c>
      <c r="Q21" s="27">
        <v>3</v>
      </c>
      <c r="R21" s="31">
        <v>120</v>
      </c>
      <c r="S21" s="27"/>
      <c r="T21" s="31"/>
      <c r="U21" s="32">
        <f t="shared" si="4"/>
        <v>360</v>
      </c>
      <c r="V21" s="31">
        <f t="shared" si="5"/>
        <v>1821.64</v>
      </c>
      <c r="W21" s="31">
        <f t="shared" si="6"/>
        <v>1821.64</v>
      </c>
      <c r="X21" s="33"/>
    </row>
    <row r="22" spans="1:24" ht="25.5" x14ac:dyDescent="0.2">
      <c r="A22" s="27" t="s">
        <v>44</v>
      </c>
      <c r="B22" s="27" t="s">
        <v>193</v>
      </c>
      <c r="C22" s="27" t="s">
        <v>192</v>
      </c>
      <c r="D22" s="29" t="s">
        <v>197</v>
      </c>
      <c r="E22" s="20" t="s">
        <v>210</v>
      </c>
      <c r="F22" s="34" t="s">
        <v>198</v>
      </c>
      <c r="G22" s="30" t="s">
        <v>31</v>
      </c>
      <c r="H22" s="27" t="s">
        <v>32</v>
      </c>
      <c r="I22" s="27" t="s">
        <v>33</v>
      </c>
      <c r="J22" s="27" t="s">
        <v>195</v>
      </c>
      <c r="K22" s="31" t="s">
        <v>194</v>
      </c>
      <c r="L22" s="35">
        <v>43061</v>
      </c>
      <c r="M22" s="35">
        <v>43063</v>
      </c>
      <c r="N22" s="31">
        <f>1461.54/2</f>
        <v>730.77</v>
      </c>
      <c r="O22" s="31">
        <f>1461.54/2</f>
        <v>730.77</v>
      </c>
      <c r="P22" s="31">
        <f t="shared" si="0"/>
        <v>1461.54</v>
      </c>
      <c r="Q22" s="27">
        <v>6</v>
      </c>
      <c r="R22" s="31">
        <v>120</v>
      </c>
      <c r="S22" s="27"/>
      <c r="T22" s="31"/>
      <c r="U22" s="32">
        <f t="shared" si="4"/>
        <v>720</v>
      </c>
      <c r="V22" s="31">
        <f t="shared" si="5"/>
        <v>2181.54</v>
      </c>
      <c r="W22" s="31">
        <f t="shared" si="6"/>
        <v>2181.54</v>
      </c>
      <c r="X22" s="33"/>
    </row>
    <row r="23" spans="1:24" ht="25.5" x14ac:dyDescent="0.2">
      <c r="A23" s="27" t="s">
        <v>49</v>
      </c>
      <c r="B23" s="27" t="s">
        <v>49</v>
      </c>
      <c r="C23" s="27" t="s">
        <v>80</v>
      </c>
      <c r="D23" s="29" t="s">
        <v>104</v>
      </c>
      <c r="E23" s="20" t="s">
        <v>90</v>
      </c>
      <c r="F23" s="34" t="s">
        <v>199</v>
      </c>
      <c r="G23" s="30" t="s">
        <v>31</v>
      </c>
      <c r="H23" s="27" t="s">
        <v>32</v>
      </c>
      <c r="I23" s="27" t="s">
        <v>33</v>
      </c>
      <c r="J23" s="27" t="s">
        <v>38</v>
      </c>
      <c r="K23" s="31" t="s">
        <v>39</v>
      </c>
      <c r="L23" s="35">
        <v>43065</v>
      </c>
      <c r="M23" s="35">
        <v>43067</v>
      </c>
      <c r="N23" s="31">
        <f>1709.58/2</f>
        <v>854.79</v>
      </c>
      <c r="O23" s="31"/>
      <c r="P23" s="31">
        <f t="shared" si="0"/>
        <v>854.79</v>
      </c>
      <c r="Q23" s="27"/>
      <c r="R23" s="31"/>
      <c r="S23" s="27"/>
      <c r="T23" s="31"/>
      <c r="U23" s="32">
        <f t="shared" si="4"/>
        <v>0</v>
      </c>
      <c r="V23" s="31">
        <f t="shared" si="5"/>
        <v>854.79</v>
      </c>
      <c r="W23" s="31">
        <f t="shared" si="6"/>
        <v>854.79</v>
      </c>
      <c r="X23" s="33"/>
    </row>
    <row r="24" spans="1:24" ht="25.5" x14ac:dyDescent="0.2">
      <c r="A24" s="27" t="s">
        <v>49</v>
      </c>
      <c r="B24" s="27" t="s">
        <v>49</v>
      </c>
      <c r="C24" s="27" t="s">
        <v>80</v>
      </c>
      <c r="D24" s="29" t="s">
        <v>104</v>
      </c>
      <c r="E24" s="20" t="s">
        <v>90</v>
      </c>
      <c r="F24" s="34" t="s">
        <v>200</v>
      </c>
      <c r="G24" s="30" t="s">
        <v>31</v>
      </c>
      <c r="H24" s="27" t="s">
        <v>38</v>
      </c>
      <c r="I24" s="31" t="s">
        <v>39</v>
      </c>
      <c r="J24" s="27" t="s">
        <v>61</v>
      </c>
      <c r="K24" s="31" t="s">
        <v>62</v>
      </c>
      <c r="L24" s="35">
        <v>43067</v>
      </c>
      <c r="M24" s="35">
        <v>43068</v>
      </c>
      <c r="N24" s="31">
        <f>1709.58/2</f>
        <v>854.79</v>
      </c>
      <c r="O24" s="31"/>
      <c r="P24" s="31">
        <f t="shared" si="0"/>
        <v>854.79</v>
      </c>
      <c r="Q24" s="27"/>
      <c r="R24" s="31"/>
      <c r="S24" s="27"/>
      <c r="T24" s="31"/>
      <c r="U24" s="32">
        <f t="shared" si="4"/>
        <v>0</v>
      </c>
      <c r="V24" s="31">
        <f t="shared" si="5"/>
        <v>854.79</v>
      </c>
      <c r="W24" s="31">
        <f t="shared" si="6"/>
        <v>854.79</v>
      </c>
      <c r="X24" s="33"/>
    </row>
    <row r="25" spans="1:24" ht="25.5" x14ac:dyDescent="0.2">
      <c r="A25" s="27" t="s">
        <v>49</v>
      </c>
      <c r="B25" s="27" t="s">
        <v>49</v>
      </c>
      <c r="C25" s="27" t="s">
        <v>80</v>
      </c>
      <c r="D25" s="29" t="s">
        <v>104</v>
      </c>
      <c r="E25" s="20" t="s">
        <v>90</v>
      </c>
      <c r="F25" s="34" t="s">
        <v>200</v>
      </c>
      <c r="G25" s="30" t="s">
        <v>31</v>
      </c>
      <c r="H25" s="27" t="s">
        <v>61</v>
      </c>
      <c r="I25" s="31" t="s">
        <v>62</v>
      </c>
      <c r="J25" s="27" t="s">
        <v>32</v>
      </c>
      <c r="K25" s="27" t="s">
        <v>33</v>
      </c>
      <c r="L25" s="35">
        <v>43068</v>
      </c>
      <c r="M25" s="35">
        <v>43068</v>
      </c>
      <c r="N25" s="31"/>
      <c r="O25" s="31">
        <v>439.8</v>
      </c>
      <c r="P25" s="31">
        <f t="shared" si="0"/>
        <v>439.8</v>
      </c>
      <c r="Q25" s="27"/>
      <c r="R25" s="31"/>
      <c r="S25" s="27"/>
      <c r="T25" s="31"/>
      <c r="U25" s="32">
        <f t="shared" si="4"/>
        <v>0</v>
      </c>
      <c r="V25" s="31">
        <f t="shared" si="5"/>
        <v>439.8</v>
      </c>
      <c r="W25" s="31">
        <f t="shared" si="6"/>
        <v>439.8</v>
      </c>
      <c r="X25" s="33"/>
    </row>
    <row r="26" spans="1:24" ht="25.5" x14ac:dyDescent="0.2">
      <c r="A26" s="27" t="s">
        <v>49</v>
      </c>
      <c r="B26" s="27" t="s">
        <v>50</v>
      </c>
      <c r="C26" s="27" t="s">
        <v>48</v>
      </c>
      <c r="D26" s="29" t="s">
        <v>81</v>
      </c>
      <c r="E26" s="20" t="s">
        <v>56</v>
      </c>
      <c r="F26" s="34" t="s">
        <v>199</v>
      </c>
      <c r="G26" s="30" t="s">
        <v>31</v>
      </c>
      <c r="H26" s="27" t="s">
        <v>32</v>
      </c>
      <c r="I26" s="27" t="s">
        <v>33</v>
      </c>
      <c r="J26" s="27" t="s">
        <v>38</v>
      </c>
      <c r="K26" s="31" t="s">
        <v>39</v>
      </c>
      <c r="L26" s="35">
        <v>43065</v>
      </c>
      <c r="M26" s="35">
        <v>43067</v>
      </c>
      <c r="N26" s="31">
        <f>1709.58/2</f>
        <v>854.79</v>
      </c>
      <c r="O26" s="31"/>
      <c r="P26" s="31">
        <f t="shared" si="0"/>
        <v>854.79</v>
      </c>
      <c r="Q26" s="27"/>
      <c r="R26" s="31"/>
      <c r="S26" s="27"/>
      <c r="T26" s="31"/>
      <c r="U26" s="32">
        <f t="shared" si="4"/>
        <v>0</v>
      </c>
      <c r="V26" s="31">
        <f t="shared" si="5"/>
        <v>854.79</v>
      </c>
      <c r="W26" s="31">
        <f t="shared" si="6"/>
        <v>854.79</v>
      </c>
      <c r="X26" s="33"/>
    </row>
    <row r="27" spans="1:24" ht="25.5" x14ac:dyDescent="0.2">
      <c r="A27" s="27" t="s">
        <v>49</v>
      </c>
      <c r="B27" s="27" t="s">
        <v>50</v>
      </c>
      <c r="C27" s="27" t="s">
        <v>48</v>
      </c>
      <c r="D27" s="29" t="s">
        <v>81</v>
      </c>
      <c r="E27" s="20" t="s">
        <v>56</v>
      </c>
      <c r="F27" s="34" t="s">
        <v>200</v>
      </c>
      <c r="G27" s="30" t="s">
        <v>31</v>
      </c>
      <c r="H27" s="27" t="s">
        <v>38</v>
      </c>
      <c r="I27" s="31" t="s">
        <v>39</v>
      </c>
      <c r="J27" s="27" t="s">
        <v>61</v>
      </c>
      <c r="K27" s="31" t="s">
        <v>62</v>
      </c>
      <c r="L27" s="35">
        <v>43067</v>
      </c>
      <c r="M27" s="35">
        <v>43068</v>
      </c>
      <c r="N27" s="31">
        <f>1709.58/2</f>
        <v>854.79</v>
      </c>
      <c r="O27" s="31"/>
      <c r="P27" s="31">
        <f t="shared" si="0"/>
        <v>854.79</v>
      </c>
      <c r="Q27" s="27"/>
      <c r="R27" s="31"/>
      <c r="S27" s="27"/>
      <c r="T27" s="31"/>
      <c r="U27" s="32">
        <f t="shared" si="4"/>
        <v>0</v>
      </c>
      <c r="V27" s="31">
        <f t="shared" si="5"/>
        <v>854.79</v>
      </c>
      <c r="W27" s="31">
        <f t="shared" si="6"/>
        <v>854.79</v>
      </c>
      <c r="X27" s="33"/>
    </row>
    <row r="28" spans="1:24" ht="25.5" x14ac:dyDescent="0.2">
      <c r="A28" s="27" t="s">
        <v>49</v>
      </c>
      <c r="B28" s="27" t="s">
        <v>50</v>
      </c>
      <c r="C28" s="27" t="s">
        <v>48</v>
      </c>
      <c r="D28" s="29" t="s">
        <v>81</v>
      </c>
      <c r="E28" s="20" t="s">
        <v>56</v>
      </c>
      <c r="F28" s="34" t="s">
        <v>200</v>
      </c>
      <c r="G28" s="30" t="s">
        <v>31</v>
      </c>
      <c r="H28" s="27" t="s">
        <v>61</v>
      </c>
      <c r="I28" s="31" t="s">
        <v>62</v>
      </c>
      <c r="J28" s="27" t="s">
        <v>32</v>
      </c>
      <c r="K28" s="27" t="s">
        <v>33</v>
      </c>
      <c r="L28" s="35">
        <v>43068</v>
      </c>
      <c r="M28" s="35">
        <v>43068</v>
      </c>
      <c r="N28" s="31">
        <v>439.8</v>
      </c>
      <c r="O28" s="31">
        <v>0</v>
      </c>
      <c r="P28" s="31">
        <f t="shared" si="0"/>
        <v>439.8</v>
      </c>
      <c r="Q28" s="27"/>
      <c r="R28" s="31"/>
      <c r="S28" s="27"/>
      <c r="T28" s="31"/>
      <c r="U28" s="32">
        <f t="shared" si="4"/>
        <v>0</v>
      </c>
      <c r="V28" s="31">
        <f t="shared" si="5"/>
        <v>439.8</v>
      </c>
      <c r="W28" s="31">
        <f t="shared" si="6"/>
        <v>439.8</v>
      </c>
      <c r="X28" s="33"/>
    </row>
    <row r="29" spans="1:24" ht="25.5" x14ac:dyDescent="0.2">
      <c r="A29" s="27" t="s">
        <v>34</v>
      </c>
      <c r="B29" s="27" t="s">
        <v>34</v>
      </c>
      <c r="C29" s="27" t="s">
        <v>46</v>
      </c>
      <c r="D29" s="29" t="s">
        <v>104</v>
      </c>
      <c r="E29" s="20" t="s">
        <v>55</v>
      </c>
      <c r="F29" s="34" t="s">
        <v>199</v>
      </c>
      <c r="G29" s="30" t="s">
        <v>31</v>
      </c>
      <c r="H29" s="27" t="s">
        <v>32</v>
      </c>
      <c r="I29" s="27" t="s">
        <v>33</v>
      </c>
      <c r="J29" s="27" t="s">
        <v>38</v>
      </c>
      <c r="K29" s="31" t="s">
        <v>39</v>
      </c>
      <c r="L29" s="35">
        <v>43065</v>
      </c>
      <c r="M29" s="35">
        <v>43069</v>
      </c>
      <c r="N29" s="31">
        <f>890.69/2</f>
        <v>445.34500000000003</v>
      </c>
      <c r="O29" s="31">
        <f>890.69/2</f>
        <v>445.34500000000003</v>
      </c>
      <c r="P29" s="31">
        <f t="shared" si="0"/>
        <v>890.69</v>
      </c>
      <c r="Q29" s="27"/>
      <c r="R29" s="31"/>
      <c r="S29" s="27"/>
      <c r="T29" s="31"/>
      <c r="U29" s="32">
        <f t="shared" si="4"/>
        <v>0</v>
      </c>
      <c r="V29" s="31">
        <f t="shared" si="5"/>
        <v>890.69</v>
      </c>
      <c r="W29" s="31">
        <f t="shared" si="6"/>
        <v>890.69</v>
      </c>
      <c r="X29" s="33"/>
    </row>
    <row r="30" spans="1:24" ht="25.5" x14ac:dyDescent="0.2">
      <c r="A30" s="27" t="s">
        <v>44</v>
      </c>
      <c r="B30" s="27" t="s">
        <v>45</v>
      </c>
      <c r="C30" s="27" t="s">
        <v>201</v>
      </c>
      <c r="D30" s="29" t="s">
        <v>204</v>
      </c>
      <c r="E30" s="20" t="s">
        <v>211</v>
      </c>
      <c r="F30" s="34" t="s">
        <v>205</v>
      </c>
      <c r="G30" s="30" t="s">
        <v>31</v>
      </c>
      <c r="H30" s="27" t="s">
        <v>32</v>
      </c>
      <c r="I30" s="27" t="s">
        <v>33</v>
      </c>
      <c r="J30" s="27" t="s">
        <v>203</v>
      </c>
      <c r="K30" s="31" t="s">
        <v>202</v>
      </c>
      <c r="L30" s="35">
        <v>43068</v>
      </c>
      <c r="M30" s="35">
        <v>43070</v>
      </c>
      <c r="N30" s="31">
        <f>971.48/2</f>
        <v>485.74</v>
      </c>
      <c r="O30" s="31">
        <f>971.48/2</f>
        <v>485.74</v>
      </c>
      <c r="P30" s="31">
        <f t="shared" si="0"/>
        <v>971.48</v>
      </c>
      <c r="Q30" s="27">
        <v>4</v>
      </c>
      <c r="R30" s="31">
        <v>120</v>
      </c>
      <c r="S30" s="27"/>
      <c r="T30" s="31"/>
      <c r="U30" s="32">
        <f t="shared" si="4"/>
        <v>480</v>
      </c>
      <c r="V30" s="31">
        <f t="shared" si="5"/>
        <v>1451.48</v>
      </c>
      <c r="W30" s="31">
        <f t="shared" si="6"/>
        <v>1451.48</v>
      </c>
      <c r="X30" s="33"/>
    </row>
  </sheetData>
  <mergeCells count="27">
    <mergeCell ref="V8:V9"/>
    <mergeCell ref="N8:N9"/>
    <mergeCell ref="P8:P9"/>
    <mergeCell ref="Q8:R8"/>
    <mergeCell ref="S8:T8"/>
    <mergeCell ref="U8:U9"/>
    <mergeCell ref="G8:G9"/>
    <mergeCell ref="H8:I8"/>
    <mergeCell ref="J8:K8"/>
    <mergeCell ref="L8:L9"/>
    <mergeCell ref="M8:M9"/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E13" sqref="E13"/>
    </sheetView>
  </sheetViews>
  <sheetFormatPr defaultRowHeight="15" customHeight="1" x14ac:dyDescent="0.2"/>
  <cols>
    <col min="1" max="1" width="8.625" customWidth="1"/>
    <col min="2" max="2" width="15.375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1" t="s">
        <v>0</v>
      </c>
      <c r="W5" s="51"/>
      <c r="X5" s="8">
        <v>43009</v>
      </c>
    </row>
    <row r="6" spans="1:24" x14ac:dyDescent="0.2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x14ac:dyDescent="0.25">
      <c r="A7" s="52" t="s">
        <v>5</v>
      </c>
      <c r="B7" s="52"/>
      <c r="C7" s="52" t="s">
        <v>6</v>
      </c>
      <c r="D7" s="52"/>
      <c r="E7" s="52"/>
      <c r="F7" s="52" t="s">
        <v>3</v>
      </c>
      <c r="G7" s="52"/>
      <c r="H7" s="52"/>
      <c r="I7" s="52"/>
      <c r="J7" s="52"/>
      <c r="K7" s="52"/>
      <c r="L7" s="52"/>
      <c r="M7" s="52"/>
      <c r="N7" s="52" t="s">
        <v>7</v>
      </c>
      <c r="O7" s="52"/>
      <c r="P7" s="52"/>
      <c r="Q7" s="52" t="s">
        <v>1</v>
      </c>
      <c r="R7" s="52"/>
      <c r="S7" s="52"/>
      <c r="T7" s="52"/>
      <c r="U7" s="52"/>
      <c r="V7" s="52"/>
      <c r="W7" s="52" t="s">
        <v>8</v>
      </c>
      <c r="X7" s="52" t="s">
        <v>9</v>
      </c>
    </row>
    <row r="8" spans="1:24" s="9" customFormat="1" x14ac:dyDescent="0.25">
      <c r="A8" s="53" t="s">
        <v>10</v>
      </c>
      <c r="B8" s="53" t="s">
        <v>11</v>
      </c>
      <c r="C8" s="53" t="s">
        <v>12</v>
      </c>
      <c r="D8" s="53" t="s">
        <v>13</v>
      </c>
      <c r="E8" s="53" t="s">
        <v>14</v>
      </c>
      <c r="F8" s="53" t="s">
        <v>15</v>
      </c>
      <c r="G8" s="53" t="s">
        <v>16</v>
      </c>
      <c r="H8" s="53" t="s">
        <v>17</v>
      </c>
      <c r="I8" s="53"/>
      <c r="J8" s="54" t="s">
        <v>18</v>
      </c>
      <c r="K8" s="54"/>
      <c r="L8" s="53" t="s">
        <v>19</v>
      </c>
      <c r="M8" s="53" t="s">
        <v>20</v>
      </c>
      <c r="N8" s="54" t="s">
        <v>21</v>
      </c>
      <c r="O8" s="54" t="s">
        <v>22</v>
      </c>
      <c r="P8" s="54" t="s">
        <v>23</v>
      </c>
      <c r="Q8" s="54" t="s">
        <v>24</v>
      </c>
      <c r="R8" s="54"/>
      <c r="S8" s="54" t="s">
        <v>25</v>
      </c>
      <c r="T8" s="54"/>
      <c r="U8" s="53" t="s">
        <v>26</v>
      </c>
      <c r="V8" s="54" t="s">
        <v>23</v>
      </c>
      <c r="W8" s="52"/>
      <c r="X8" s="52"/>
    </row>
    <row r="9" spans="1:24" s="9" customFormat="1" x14ac:dyDescent="0.25">
      <c r="A9" s="53"/>
      <c r="B9" s="53"/>
      <c r="C9" s="53"/>
      <c r="D9" s="53"/>
      <c r="E9" s="53"/>
      <c r="F9" s="53"/>
      <c r="G9" s="53"/>
      <c r="H9" s="10" t="s">
        <v>27</v>
      </c>
      <c r="I9" s="10" t="s">
        <v>28</v>
      </c>
      <c r="J9" s="10" t="s">
        <v>27</v>
      </c>
      <c r="K9" s="11" t="s">
        <v>29</v>
      </c>
      <c r="L9" s="53"/>
      <c r="M9" s="53"/>
      <c r="N9" s="54"/>
      <c r="O9" s="54"/>
      <c r="P9" s="54"/>
      <c r="Q9" s="10" t="s">
        <v>2</v>
      </c>
      <c r="R9" s="11" t="s">
        <v>30</v>
      </c>
      <c r="S9" s="10" t="s">
        <v>2</v>
      </c>
      <c r="T9" s="11" t="s">
        <v>30</v>
      </c>
      <c r="U9" s="53"/>
      <c r="V9" s="54"/>
      <c r="W9" s="52"/>
      <c r="X9" s="52"/>
    </row>
    <row r="10" spans="1:24" ht="38.25" x14ac:dyDescent="0.2">
      <c r="A10" s="27" t="s">
        <v>34</v>
      </c>
      <c r="B10" s="34" t="s">
        <v>212</v>
      </c>
      <c r="C10" s="34" t="s">
        <v>40</v>
      </c>
      <c r="D10" s="29" t="s">
        <v>172</v>
      </c>
      <c r="E10" s="20" t="s">
        <v>53</v>
      </c>
      <c r="F10" s="34" t="s">
        <v>218</v>
      </c>
      <c r="G10" s="30" t="s">
        <v>31</v>
      </c>
      <c r="H10" s="27" t="s">
        <v>32</v>
      </c>
      <c r="I10" s="27" t="s">
        <v>33</v>
      </c>
      <c r="J10" s="27" t="s">
        <v>38</v>
      </c>
      <c r="K10" s="31" t="s">
        <v>39</v>
      </c>
      <c r="L10" s="35">
        <v>43080</v>
      </c>
      <c r="M10" s="35">
        <v>43081</v>
      </c>
      <c r="N10" s="31">
        <f>972/2</f>
        <v>486</v>
      </c>
      <c r="O10" s="31">
        <f>972/2</f>
        <v>486</v>
      </c>
      <c r="P10" s="31">
        <f t="shared" ref="P10:P29" si="0">N10+O10</f>
        <v>972</v>
      </c>
      <c r="Q10" s="27">
        <v>3</v>
      </c>
      <c r="R10" s="31">
        <v>120</v>
      </c>
      <c r="S10" s="27"/>
      <c r="T10" s="31"/>
      <c r="U10" s="32">
        <f t="shared" ref="U10" si="1">(Q10*R10)+(S10*T10)</f>
        <v>360</v>
      </c>
      <c r="V10" s="31">
        <f t="shared" ref="V10" si="2">P10+U10</f>
        <v>1332</v>
      </c>
      <c r="W10" s="31">
        <f t="shared" ref="W10" si="3">V10</f>
        <v>1332</v>
      </c>
      <c r="X10" s="28"/>
    </row>
    <row r="11" spans="1:24" ht="51" x14ac:dyDescent="0.2">
      <c r="A11" s="27" t="s">
        <v>34</v>
      </c>
      <c r="B11" s="34" t="s">
        <v>212</v>
      </c>
      <c r="C11" s="27" t="s">
        <v>165</v>
      </c>
      <c r="D11" s="29" t="s">
        <v>173</v>
      </c>
      <c r="E11" s="20" t="s">
        <v>174</v>
      </c>
      <c r="F11" s="34" t="s">
        <v>219</v>
      </c>
      <c r="G11" s="30" t="s">
        <v>31</v>
      </c>
      <c r="H11" s="27" t="s">
        <v>32</v>
      </c>
      <c r="I11" s="27" t="s">
        <v>33</v>
      </c>
      <c r="J11" s="27" t="s">
        <v>38</v>
      </c>
      <c r="K11" s="31" t="s">
        <v>39</v>
      </c>
      <c r="L11" s="35">
        <v>43082</v>
      </c>
      <c r="M11" s="35">
        <v>43084</v>
      </c>
      <c r="N11" s="31">
        <f>944.36/2</f>
        <v>472.18</v>
      </c>
      <c r="O11" s="31">
        <f>944.36/2</f>
        <v>472.18</v>
      </c>
      <c r="P11" s="31">
        <f t="shared" si="0"/>
        <v>944.36</v>
      </c>
      <c r="Q11" s="27">
        <v>3</v>
      </c>
      <c r="R11" s="31">
        <v>120</v>
      </c>
      <c r="S11" s="27">
        <v>2</v>
      </c>
      <c r="T11" s="31">
        <v>100</v>
      </c>
      <c r="U11" s="32">
        <f t="shared" ref="U11:U29" si="4">(Q11*R11)+(S11*T11)</f>
        <v>560</v>
      </c>
      <c r="V11" s="31">
        <f t="shared" ref="V11:V29" si="5">P11+U11</f>
        <v>1504.3600000000001</v>
      </c>
      <c r="W11" s="31">
        <f t="shared" ref="W11:W29" si="6">V11</f>
        <v>1504.3600000000001</v>
      </c>
      <c r="X11" s="33"/>
    </row>
    <row r="12" spans="1:24" ht="51" x14ac:dyDescent="0.2">
      <c r="A12" s="27" t="s">
        <v>49</v>
      </c>
      <c r="B12" s="34" t="s">
        <v>214</v>
      </c>
      <c r="C12" s="27" t="s">
        <v>213</v>
      </c>
      <c r="D12" s="29" t="s">
        <v>220</v>
      </c>
      <c r="E12" s="20" t="s">
        <v>221</v>
      </c>
      <c r="F12" s="34" t="s">
        <v>216</v>
      </c>
      <c r="G12" s="30" t="s">
        <v>31</v>
      </c>
      <c r="H12" s="27" t="s">
        <v>32</v>
      </c>
      <c r="I12" s="27" t="s">
        <v>33</v>
      </c>
      <c r="J12" s="27" t="s">
        <v>61</v>
      </c>
      <c r="K12" s="31" t="s">
        <v>62</v>
      </c>
      <c r="L12" s="35">
        <v>43074</v>
      </c>
      <c r="M12" s="35">
        <v>43075</v>
      </c>
      <c r="N12" s="31">
        <f>922.41/2</f>
        <v>461.20499999999998</v>
      </c>
      <c r="O12" s="31">
        <f>922.41/2</f>
        <v>461.20499999999998</v>
      </c>
      <c r="P12" s="31">
        <f t="shared" si="0"/>
        <v>922.41</v>
      </c>
      <c r="Q12" s="27">
        <v>4</v>
      </c>
      <c r="R12" s="31">
        <v>120</v>
      </c>
      <c r="S12" s="27"/>
      <c r="T12" s="31"/>
      <c r="U12" s="32">
        <f t="shared" si="4"/>
        <v>480</v>
      </c>
      <c r="V12" s="31">
        <f t="shared" si="5"/>
        <v>1402.4099999999999</v>
      </c>
      <c r="W12" s="31">
        <f t="shared" si="6"/>
        <v>1402.4099999999999</v>
      </c>
      <c r="X12" s="33"/>
    </row>
    <row r="13" spans="1:24" ht="25.5" x14ac:dyDescent="0.2">
      <c r="A13" s="27" t="s">
        <v>49</v>
      </c>
      <c r="B13" s="27" t="s">
        <v>49</v>
      </c>
      <c r="C13" s="27" t="s">
        <v>80</v>
      </c>
      <c r="D13" s="29" t="s">
        <v>104</v>
      </c>
      <c r="E13" s="20" t="s">
        <v>90</v>
      </c>
      <c r="F13" s="34" t="s">
        <v>217</v>
      </c>
      <c r="G13" s="30" t="s">
        <v>31</v>
      </c>
      <c r="H13" s="27" t="s">
        <v>32</v>
      </c>
      <c r="I13" s="27" t="s">
        <v>33</v>
      </c>
      <c r="J13" s="27" t="s">
        <v>38</v>
      </c>
      <c r="K13" s="31" t="s">
        <v>39</v>
      </c>
      <c r="L13" s="35">
        <v>43076</v>
      </c>
      <c r="M13" s="35">
        <v>43076</v>
      </c>
      <c r="N13" s="31">
        <f>994.14/2</f>
        <v>497.07</v>
      </c>
      <c r="O13" s="31">
        <f>994.14/2</f>
        <v>497.07</v>
      </c>
      <c r="P13" s="31">
        <f t="shared" si="0"/>
        <v>994.14</v>
      </c>
      <c r="Q13" s="27"/>
      <c r="R13" s="31"/>
      <c r="S13" s="27"/>
      <c r="T13" s="31"/>
      <c r="U13" s="32">
        <f t="shared" si="4"/>
        <v>0</v>
      </c>
      <c r="V13" s="31">
        <f t="shared" si="5"/>
        <v>994.14</v>
      </c>
      <c r="W13" s="31">
        <f t="shared" si="6"/>
        <v>994.14</v>
      </c>
      <c r="X13" s="33"/>
    </row>
    <row r="14" spans="1:24" ht="38.25" x14ac:dyDescent="0.2">
      <c r="A14" s="27" t="s">
        <v>49</v>
      </c>
      <c r="B14" s="34" t="s">
        <v>215</v>
      </c>
      <c r="C14" s="27" t="s">
        <v>48</v>
      </c>
      <c r="D14" s="26" t="s">
        <v>81</v>
      </c>
      <c r="E14" s="14" t="s">
        <v>56</v>
      </c>
      <c r="F14" s="34" t="s">
        <v>217</v>
      </c>
      <c r="G14" s="30" t="s">
        <v>31</v>
      </c>
      <c r="H14" s="27" t="s">
        <v>32</v>
      </c>
      <c r="I14" s="27" t="s">
        <v>33</v>
      </c>
      <c r="J14" s="27" t="s">
        <v>38</v>
      </c>
      <c r="K14" s="31" t="s">
        <v>39</v>
      </c>
      <c r="L14" s="35">
        <v>43076</v>
      </c>
      <c r="M14" s="35">
        <v>43076</v>
      </c>
      <c r="N14" s="31">
        <f>992.25/2</f>
        <v>496.125</v>
      </c>
      <c r="O14" s="31">
        <f>992.25/2</f>
        <v>496.125</v>
      </c>
      <c r="P14" s="31">
        <f t="shared" si="0"/>
        <v>992.25</v>
      </c>
      <c r="Q14" s="27">
        <v>3</v>
      </c>
      <c r="R14" s="31">
        <v>120</v>
      </c>
      <c r="S14" s="27"/>
      <c r="T14" s="31"/>
      <c r="U14" s="32">
        <f t="shared" si="4"/>
        <v>360</v>
      </c>
      <c r="V14" s="31">
        <f t="shared" si="5"/>
        <v>1352.25</v>
      </c>
      <c r="W14" s="31">
        <f t="shared" si="6"/>
        <v>1352.25</v>
      </c>
      <c r="X14" s="33"/>
    </row>
    <row r="15" spans="1:24" ht="14.25" x14ac:dyDescent="0.2">
      <c r="A15" s="27"/>
      <c r="B15" s="27"/>
      <c r="C15" s="27"/>
      <c r="D15" s="29"/>
      <c r="E15" s="20"/>
      <c r="F15" s="34"/>
      <c r="G15" s="30"/>
      <c r="H15" s="27"/>
      <c r="I15" s="27"/>
      <c r="J15" s="27"/>
      <c r="K15" s="31"/>
      <c r="L15" s="35"/>
      <c r="M15" s="35"/>
      <c r="N15" s="31"/>
      <c r="O15" s="31"/>
      <c r="P15" s="31">
        <f t="shared" si="0"/>
        <v>0</v>
      </c>
      <c r="Q15" s="27"/>
      <c r="R15" s="31"/>
      <c r="S15" s="27"/>
      <c r="T15" s="31"/>
      <c r="U15" s="32">
        <f t="shared" si="4"/>
        <v>0</v>
      </c>
      <c r="V15" s="31">
        <f t="shared" si="5"/>
        <v>0</v>
      </c>
      <c r="W15" s="31">
        <f t="shared" si="6"/>
        <v>0</v>
      </c>
      <c r="X15" s="33"/>
    </row>
    <row r="16" spans="1:24" ht="14.25" x14ac:dyDescent="0.2">
      <c r="A16" s="27"/>
      <c r="B16" s="27"/>
      <c r="C16" s="27"/>
      <c r="D16" s="29"/>
      <c r="E16" s="34"/>
      <c r="F16" s="34"/>
      <c r="G16" s="30"/>
      <c r="H16" s="27"/>
      <c r="I16" s="27"/>
      <c r="J16" s="27"/>
      <c r="K16" s="31"/>
      <c r="L16" s="35"/>
      <c r="M16" s="35"/>
      <c r="N16" s="31"/>
      <c r="O16" s="31"/>
      <c r="P16" s="31">
        <f t="shared" si="0"/>
        <v>0</v>
      </c>
      <c r="Q16" s="27"/>
      <c r="R16" s="31"/>
      <c r="S16" s="27"/>
      <c r="T16" s="31"/>
      <c r="U16" s="32">
        <f t="shared" si="4"/>
        <v>0</v>
      </c>
      <c r="V16" s="31">
        <f t="shared" si="5"/>
        <v>0</v>
      </c>
      <c r="W16" s="31">
        <f t="shared" si="6"/>
        <v>0</v>
      </c>
      <c r="X16" s="33"/>
    </row>
    <row r="17" spans="1:24" ht="14.25" x14ac:dyDescent="0.2">
      <c r="A17" s="27"/>
      <c r="B17" s="27"/>
      <c r="C17" s="27"/>
      <c r="D17" s="29"/>
      <c r="E17" s="20"/>
      <c r="F17" s="34"/>
      <c r="G17" s="30"/>
      <c r="H17" s="27"/>
      <c r="I17" s="27"/>
      <c r="J17" s="27"/>
      <c r="K17" s="31"/>
      <c r="L17" s="35"/>
      <c r="M17" s="35"/>
      <c r="N17" s="31"/>
      <c r="O17" s="31"/>
      <c r="P17" s="31">
        <f t="shared" si="0"/>
        <v>0</v>
      </c>
      <c r="Q17" s="27"/>
      <c r="R17" s="31"/>
      <c r="S17" s="27"/>
      <c r="T17" s="31"/>
      <c r="U17" s="32">
        <f t="shared" si="4"/>
        <v>0</v>
      </c>
      <c r="V17" s="31">
        <f t="shared" si="5"/>
        <v>0</v>
      </c>
      <c r="W17" s="31">
        <f t="shared" si="6"/>
        <v>0</v>
      </c>
      <c r="X17" s="33"/>
    </row>
    <row r="18" spans="1:24" ht="14.25" x14ac:dyDescent="0.2">
      <c r="A18" s="27"/>
      <c r="B18" s="27"/>
      <c r="C18" s="27"/>
      <c r="D18" s="29"/>
      <c r="E18" s="14"/>
      <c r="F18" s="34"/>
      <c r="G18" s="30"/>
      <c r="H18" s="27"/>
      <c r="I18" s="27"/>
      <c r="J18" s="27"/>
      <c r="K18" s="31"/>
      <c r="L18" s="35"/>
      <c r="M18" s="35"/>
      <c r="N18" s="31"/>
      <c r="O18" s="31"/>
      <c r="P18" s="31">
        <f t="shared" si="0"/>
        <v>0</v>
      </c>
      <c r="Q18" s="27"/>
      <c r="R18" s="31"/>
      <c r="S18" s="27"/>
      <c r="T18" s="31"/>
      <c r="U18" s="32">
        <f t="shared" si="4"/>
        <v>0</v>
      </c>
      <c r="V18" s="31">
        <f t="shared" si="5"/>
        <v>0</v>
      </c>
      <c r="W18" s="31">
        <f t="shared" si="6"/>
        <v>0</v>
      </c>
      <c r="X18" s="33"/>
    </row>
    <row r="19" spans="1:24" ht="14.25" x14ac:dyDescent="0.2">
      <c r="A19" s="27"/>
      <c r="B19" s="27"/>
      <c r="C19" s="27"/>
      <c r="D19" s="29"/>
      <c r="E19" s="20"/>
      <c r="F19" s="34"/>
      <c r="G19" s="30"/>
      <c r="H19" s="27"/>
      <c r="I19" s="27"/>
      <c r="J19" s="27"/>
      <c r="K19" s="31"/>
      <c r="L19" s="35"/>
      <c r="M19" s="35"/>
      <c r="N19" s="31"/>
      <c r="O19" s="31"/>
      <c r="P19" s="31">
        <f t="shared" si="0"/>
        <v>0</v>
      </c>
      <c r="Q19" s="27"/>
      <c r="R19" s="31"/>
      <c r="S19" s="27"/>
      <c r="T19" s="31"/>
      <c r="U19" s="32">
        <f t="shared" si="4"/>
        <v>0</v>
      </c>
      <c r="V19" s="31">
        <f t="shared" si="5"/>
        <v>0</v>
      </c>
      <c r="W19" s="31">
        <f t="shared" si="6"/>
        <v>0</v>
      </c>
      <c r="X19" s="33"/>
    </row>
    <row r="20" spans="1:24" ht="14.25" x14ac:dyDescent="0.2">
      <c r="A20" s="27"/>
      <c r="B20" s="27"/>
      <c r="C20" s="27"/>
      <c r="D20" s="29"/>
      <c r="E20" s="20"/>
      <c r="F20" s="34"/>
      <c r="G20" s="30"/>
      <c r="H20" s="27"/>
      <c r="I20" s="27"/>
      <c r="J20" s="27"/>
      <c r="K20" s="31"/>
      <c r="L20" s="35"/>
      <c r="M20" s="35"/>
      <c r="N20" s="31"/>
      <c r="O20" s="31"/>
      <c r="P20" s="31">
        <f t="shared" si="0"/>
        <v>0</v>
      </c>
      <c r="Q20" s="27"/>
      <c r="R20" s="31"/>
      <c r="S20" s="27"/>
      <c r="T20" s="31"/>
      <c r="U20" s="32">
        <f t="shared" si="4"/>
        <v>0</v>
      </c>
      <c r="V20" s="31">
        <f t="shared" si="5"/>
        <v>0</v>
      </c>
      <c r="W20" s="31">
        <f t="shared" si="6"/>
        <v>0</v>
      </c>
      <c r="X20" s="33"/>
    </row>
    <row r="21" spans="1:24" ht="14.25" x14ac:dyDescent="0.2">
      <c r="A21" s="27"/>
      <c r="B21" s="27"/>
      <c r="C21" s="27"/>
      <c r="D21" s="29"/>
      <c r="E21" s="20"/>
      <c r="F21" s="34"/>
      <c r="G21" s="30"/>
      <c r="H21" s="27"/>
      <c r="I21" s="27"/>
      <c r="J21" s="27"/>
      <c r="K21" s="31"/>
      <c r="L21" s="35"/>
      <c r="M21" s="35"/>
      <c r="N21" s="31"/>
      <c r="O21" s="31"/>
      <c r="P21" s="31">
        <f t="shared" si="0"/>
        <v>0</v>
      </c>
      <c r="Q21" s="27"/>
      <c r="R21" s="31"/>
      <c r="S21" s="27"/>
      <c r="T21" s="31"/>
      <c r="U21" s="32">
        <f t="shared" si="4"/>
        <v>0</v>
      </c>
      <c r="V21" s="31">
        <f t="shared" si="5"/>
        <v>0</v>
      </c>
      <c r="W21" s="31">
        <f t="shared" si="6"/>
        <v>0</v>
      </c>
      <c r="X21" s="33"/>
    </row>
    <row r="22" spans="1:24" ht="14.25" x14ac:dyDescent="0.2">
      <c r="A22" s="27"/>
      <c r="B22" s="27"/>
      <c r="C22" s="27"/>
      <c r="D22" s="29"/>
      <c r="E22" s="20"/>
      <c r="F22" s="34"/>
      <c r="G22" s="30"/>
      <c r="H22" s="27"/>
      <c r="I22" s="27"/>
      <c r="J22" s="27"/>
      <c r="K22" s="31"/>
      <c r="L22" s="35"/>
      <c r="M22" s="35"/>
      <c r="N22" s="31"/>
      <c r="O22" s="31"/>
      <c r="P22" s="31">
        <f t="shared" si="0"/>
        <v>0</v>
      </c>
      <c r="Q22" s="27"/>
      <c r="R22" s="31"/>
      <c r="S22" s="27"/>
      <c r="T22" s="31"/>
      <c r="U22" s="32">
        <f t="shared" si="4"/>
        <v>0</v>
      </c>
      <c r="V22" s="31">
        <f t="shared" si="5"/>
        <v>0</v>
      </c>
      <c r="W22" s="31">
        <f t="shared" si="6"/>
        <v>0</v>
      </c>
      <c r="X22" s="33"/>
    </row>
    <row r="23" spans="1:24" ht="14.25" x14ac:dyDescent="0.2">
      <c r="A23" s="27"/>
      <c r="B23" s="27"/>
      <c r="C23" s="27"/>
      <c r="D23" s="29"/>
      <c r="E23" s="20"/>
      <c r="F23" s="34"/>
      <c r="G23" s="30"/>
      <c r="H23" s="27"/>
      <c r="I23" s="31"/>
      <c r="J23" s="27"/>
      <c r="K23" s="31"/>
      <c r="L23" s="35"/>
      <c r="M23" s="35"/>
      <c r="N23" s="31"/>
      <c r="O23" s="31"/>
      <c r="P23" s="31">
        <f t="shared" si="0"/>
        <v>0</v>
      </c>
      <c r="Q23" s="27"/>
      <c r="R23" s="31"/>
      <c r="S23" s="27"/>
      <c r="T23" s="31"/>
      <c r="U23" s="32">
        <f t="shared" si="4"/>
        <v>0</v>
      </c>
      <c r="V23" s="31">
        <f t="shared" si="5"/>
        <v>0</v>
      </c>
      <c r="W23" s="31">
        <f t="shared" si="6"/>
        <v>0</v>
      </c>
      <c r="X23" s="33"/>
    </row>
    <row r="24" spans="1:24" ht="14.25" x14ac:dyDescent="0.2">
      <c r="A24" s="27"/>
      <c r="B24" s="27"/>
      <c r="C24" s="27"/>
      <c r="D24" s="29"/>
      <c r="E24" s="20"/>
      <c r="F24" s="34"/>
      <c r="G24" s="30"/>
      <c r="H24" s="27"/>
      <c r="I24" s="31"/>
      <c r="J24" s="27"/>
      <c r="K24" s="27"/>
      <c r="L24" s="35"/>
      <c r="M24" s="35"/>
      <c r="N24" s="31"/>
      <c r="O24" s="31"/>
      <c r="P24" s="31">
        <f t="shared" si="0"/>
        <v>0</v>
      </c>
      <c r="Q24" s="27"/>
      <c r="R24" s="31"/>
      <c r="S24" s="27"/>
      <c r="T24" s="31"/>
      <c r="U24" s="32">
        <f t="shared" si="4"/>
        <v>0</v>
      </c>
      <c r="V24" s="31">
        <f t="shared" si="5"/>
        <v>0</v>
      </c>
      <c r="W24" s="31">
        <f t="shared" si="6"/>
        <v>0</v>
      </c>
      <c r="X24" s="33"/>
    </row>
    <row r="25" spans="1:24" ht="14.25" x14ac:dyDescent="0.2">
      <c r="A25" s="27"/>
      <c r="B25" s="27"/>
      <c r="C25" s="27"/>
      <c r="D25" s="29"/>
      <c r="E25" s="20"/>
      <c r="F25" s="34"/>
      <c r="G25" s="30"/>
      <c r="H25" s="27"/>
      <c r="I25" s="27"/>
      <c r="J25" s="27"/>
      <c r="K25" s="31"/>
      <c r="L25" s="35"/>
      <c r="M25" s="35"/>
      <c r="N25" s="31"/>
      <c r="O25" s="31"/>
      <c r="P25" s="31">
        <f t="shared" si="0"/>
        <v>0</v>
      </c>
      <c r="Q25" s="27"/>
      <c r="R25" s="31"/>
      <c r="S25" s="27"/>
      <c r="T25" s="31"/>
      <c r="U25" s="32">
        <f t="shared" si="4"/>
        <v>0</v>
      </c>
      <c r="V25" s="31">
        <f t="shared" si="5"/>
        <v>0</v>
      </c>
      <c r="W25" s="31">
        <f t="shared" si="6"/>
        <v>0</v>
      </c>
      <c r="X25" s="33"/>
    </row>
    <row r="26" spans="1:24" ht="14.25" x14ac:dyDescent="0.2">
      <c r="A26" s="27"/>
      <c r="B26" s="27"/>
      <c r="C26" s="27"/>
      <c r="D26" s="29"/>
      <c r="E26" s="20"/>
      <c r="F26" s="34"/>
      <c r="G26" s="30"/>
      <c r="H26" s="27"/>
      <c r="I26" s="31"/>
      <c r="J26" s="27"/>
      <c r="K26" s="31"/>
      <c r="L26" s="35"/>
      <c r="M26" s="35"/>
      <c r="N26" s="31"/>
      <c r="O26" s="31"/>
      <c r="P26" s="31">
        <f t="shared" si="0"/>
        <v>0</v>
      </c>
      <c r="Q26" s="27"/>
      <c r="R26" s="31"/>
      <c r="S26" s="27"/>
      <c r="T26" s="31"/>
      <c r="U26" s="32">
        <f t="shared" si="4"/>
        <v>0</v>
      </c>
      <c r="V26" s="31">
        <f t="shared" si="5"/>
        <v>0</v>
      </c>
      <c r="W26" s="31">
        <f t="shared" si="6"/>
        <v>0</v>
      </c>
      <c r="X26" s="33"/>
    </row>
    <row r="27" spans="1:24" ht="14.25" x14ac:dyDescent="0.2">
      <c r="A27" s="27"/>
      <c r="B27" s="27"/>
      <c r="C27" s="27"/>
      <c r="D27" s="29"/>
      <c r="E27" s="20"/>
      <c r="F27" s="34"/>
      <c r="G27" s="30"/>
      <c r="H27" s="27"/>
      <c r="I27" s="31"/>
      <c r="J27" s="27"/>
      <c r="K27" s="27"/>
      <c r="L27" s="35"/>
      <c r="M27" s="35"/>
      <c r="N27" s="31"/>
      <c r="O27" s="31"/>
      <c r="P27" s="31">
        <f t="shared" si="0"/>
        <v>0</v>
      </c>
      <c r="Q27" s="27"/>
      <c r="R27" s="31"/>
      <c r="S27" s="27"/>
      <c r="T27" s="31"/>
      <c r="U27" s="32">
        <f t="shared" si="4"/>
        <v>0</v>
      </c>
      <c r="V27" s="31">
        <f t="shared" si="5"/>
        <v>0</v>
      </c>
      <c r="W27" s="31">
        <f t="shared" si="6"/>
        <v>0</v>
      </c>
      <c r="X27" s="33"/>
    </row>
    <row r="28" spans="1:24" ht="14.25" x14ac:dyDescent="0.2">
      <c r="A28" s="27"/>
      <c r="B28" s="27"/>
      <c r="C28" s="27"/>
      <c r="D28" s="29"/>
      <c r="E28" s="20"/>
      <c r="F28" s="34"/>
      <c r="G28" s="30"/>
      <c r="H28" s="27"/>
      <c r="I28" s="27"/>
      <c r="J28" s="27"/>
      <c r="K28" s="31"/>
      <c r="L28" s="35"/>
      <c r="M28" s="35"/>
      <c r="N28" s="31"/>
      <c r="O28" s="31"/>
      <c r="P28" s="31">
        <f t="shared" si="0"/>
        <v>0</v>
      </c>
      <c r="Q28" s="27"/>
      <c r="R28" s="31"/>
      <c r="S28" s="27"/>
      <c r="T28" s="31"/>
      <c r="U28" s="32">
        <f t="shared" si="4"/>
        <v>0</v>
      </c>
      <c r="V28" s="31">
        <f t="shared" si="5"/>
        <v>0</v>
      </c>
      <c r="W28" s="31">
        <f t="shared" si="6"/>
        <v>0</v>
      </c>
      <c r="X28" s="33"/>
    </row>
    <row r="29" spans="1:24" ht="14.25" x14ac:dyDescent="0.2">
      <c r="A29" s="27"/>
      <c r="B29" s="27"/>
      <c r="C29" s="27"/>
      <c r="D29" s="29"/>
      <c r="E29" s="20"/>
      <c r="F29" s="34"/>
      <c r="G29" s="30"/>
      <c r="H29" s="27"/>
      <c r="I29" s="27"/>
      <c r="J29" s="27"/>
      <c r="K29" s="31"/>
      <c r="L29" s="35"/>
      <c r="M29" s="35"/>
      <c r="N29" s="31"/>
      <c r="O29" s="31"/>
      <c r="P29" s="31">
        <f t="shared" si="0"/>
        <v>0</v>
      </c>
      <c r="Q29" s="27"/>
      <c r="R29" s="31"/>
      <c r="S29" s="27"/>
      <c r="T29" s="31"/>
      <c r="U29" s="32">
        <f t="shared" si="4"/>
        <v>0</v>
      </c>
      <c r="V29" s="31">
        <f t="shared" si="5"/>
        <v>0</v>
      </c>
      <c r="W29" s="31">
        <f t="shared" si="6"/>
        <v>0</v>
      </c>
      <c r="X29" s="33"/>
    </row>
  </sheetData>
  <mergeCells count="27">
    <mergeCell ref="V8:V9"/>
    <mergeCell ref="N8:N9"/>
    <mergeCell ref="P8:P9"/>
    <mergeCell ref="Q8:R8"/>
    <mergeCell ref="S8:T8"/>
    <mergeCell ref="U8:U9"/>
    <mergeCell ref="G8:G9"/>
    <mergeCell ref="H8:I8"/>
    <mergeCell ref="J8:K8"/>
    <mergeCell ref="L8:L9"/>
    <mergeCell ref="M8:M9"/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D11" sqref="D11:E11"/>
    </sheetView>
  </sheetViews>
  <sheetFormatPr defaultRowHeight="15" customHeight="1" x14ac:dyDescent="0.2"/>
  <cols>
    <col min="1" max="1" width="8.625" customWidth="1"/>
    <col min="2" max="2" width="15.375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1" t="s">
        <v>0</v>
      </c>
      <c r="W5" s="51"/>
      <c r="X5" s="8">
        <v>43101</v>
      </c>
    </row>
    <row r="6" spans="1:24" x14ac:dyDescent="0.2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x14ac:dyDescent="0.25">
      <c r="A7" s="52" t="s">
        <v>5</v>
      </c>
      <c r="B7" s="52"/>
      <c r="C7" s="52" t="s">
        <v>6</v>
      </c>
      <c r="D7" s="52"/>
      <c r="E7" s="52"/>
      <c r="F7" s="52" t="s">
        <v>3</v>
      </c>
      <c r="G7" s="52"/>
      <c r="H7" s="52"/>
      <c r="I7" s="52"/>
      <c r="J7" s="52"/>
      <c r="K7" s="52"/>
      <c r="L7" s="52"/>
      <c r="M7" s="52"/>
      <c r="N7" s="52" t="s">
        <v>7</v>
      </c>
      <c r="O7" s="52"/>
      <c r="P7" s="52"/>
      <c r="Q7" s="52" t="s">
        <v>1</v>
      </c>
      <c r="R7" s="52"/>
      <c r="S7" s="52"/>
      <c r="T7" s="52"/>
      <c r="U7" s="52"/>
      <c r="V7" s="52"/>
      <c r="W7" s="52" t="s">
        <v>8</v>
      </c>
      <c r="X7" s="52" t="s">
        <v>9</v>
      </c>
    </row>
    <row r="8" spans="1:24" s="9" customFormat="1" x14ac:dyDescent="0.25">
      <c r="A8" s="53" t="s">
        <v>10</v>
      </c>
      <c r="B8" s="53" t="s">
        <v>11</v>
      </c>
      <c r="C8" s="53" t="s">
        <v>12</v>
      </c>
      <c r="D8" s="53" t="s">
        <v>13</v>
      </c>
      <c r="E8" s="53" t="s">
        <v>14</v>
      </c>
      <c r="F8" s="53" t="s">
        <v>15</v>
      </c>
      <c r="G8" s="53" t="s">
        <v>16</v>
      </c>
      <c r="H8" s="53" t="s">
        <v>17</v>
      </c>
      <c r="I8" s="53"/>
      <c r="J8" s="54" t="s">
        <v>18</v>
      </c>
      <c r="K8" s="54"/>
      <c r="L8" s="53" t="s">
        <v>19</v>
      </c>
      <c r="M8" s="53" t="s">
        <v>20</v>
      </c>
      <c r="N8" s="54" t="s">
        <v>21</v>
      </c>
      <c r="O8" s="54" t="s">
        <v>22</v>
      </c>
      <c r="P8" s="54" t="s">
        <v>23</v>
      </c>
      <c r="Q8" s="54" t="s">
        <v>24</v>
      </c>
      <c r="R8" s="54"/>
      <c r="S8" s="54" t="s">
        <v>25</v>
      </c>
      <c r="T8" s="54"/>
      <c r="U8" s="53" t="s">
        <v>26</v>
      </c>
      <c r="V8" s="54" t="s">
        <v>23</v>
      </c>
      <c r="W8" s="52"/>
      <c r="X8" s="52"/>
    </row>
    <row r="9" spans="1:24" s="9" customFormat="1" x14ac:dyDescent="0.25">
      <c r="A9" s="53"/>
      <c r="B9" s="53"/>
      <c r="C9" s="53"/>
      <c r="D9" s="53"/>
      <c r="E9" s="53"/>
      <c r="F9" s="53"/>
      <c r="G9" s="53"/>
      <c r="H9" s="10" t="s">
        <v>27</v>
      </c>
      <c r="I9" s="10" t="s">
        <v>28</v>
      </c>
      <c r="J9" s="10" t="s">
        <v>27</v>
      </c>
      <c r="K9" s="11" t="s">
        <v>29</v>
      </c>
      <c r="L9" s="53"/>
      <c r="M9" s="53"/>
      <c r="N9" s="54"/>
      <c r="O9" s="54"/>
      <c r="P9" s="54"/>
      <c r="Q9" s="10" t="s">
        <v>2</v>
      </c>
      <c r="R9" s="11" t="s">
        <v>30</v>
      </c>
      <c r="S9" s="10" t="s">
        <v>2</v>
      </c>
      <c r="T9" s="11" t="s">
        <v>30</v>
      </c>
      <c r="U9" s="53"/>
      <c r="V9" s="54"/>
      <c r="W9" s="52"/>
      <c r="X9" s="52"/>
    </row>
    <row r="10" spans="1:24" ht="25.5" x14ac:dyDescent="0.2">
      <c r="A10" s="27" t="s">
        <v>49</v>
      </c>
      <c r="B10" s="34" t="s">
        <v>49</v>
      </c>
      <c r="C10" s="34" t="s">
        <v>80</v>
      </c>
      <c r="D10" s="29" t="s">
        <v>104</v>
      </c>
      <c r="E10" s="20" t="s">
        <v>90</v>
      </c>
      <c r="F10" s="34" t="s">
        <v>222</v>
      </c>
      <c r="G10" s="30" t="s">
        <v>31</v>
      </c>
      <c r="H10" s="27" t="s">
        <v>32</v>
      </c>
      <c r="I10" s="27" t="s">
        <v>33</v>
      </c>
      <c r="J10" s="27" t="s">
        <v>139</v>
      </c>
      <c r="K10" s="31" t="s">
        <v>140</v>
      </c>
      <c r="L10" s="35">
        <v>43104</v>
      </c>
      <c r="M10" s="35">
        <v>43104</v>
      </c>
      <c r="N10" s="31">
        <f>1018.78/2</f>
        <v>509.39</v>
      </c>
      <c r="O10" s="31">
        <f>1018.78/2</f>
        <v>509.39</v>
      </c>
      <c r="P10" s="31">
        <f t="shared" ref="P10:P29" si="0">N10+O10</f>
        <v>1018.78</v>
      </c>
      <c r="Q10" s="27"/>
      <c r="R10" s="31"/>
      <c r="S10" s="27"/>
      <c r="T10" s="31"/>
      <c r="U10" s="32">
        <f t="shared" ref="U10:U29" si="1">(Q10*R10)+(S10*T10)</f>
        <v>0</v>
      </c>
      <c r="V10" s="31">
        <f t="shared" ref="V10:V29" si="2">P10+U10</f>
        <v>1018.78</v>
      </c>
      <c r="W10" s="31">
        <f t="shared" ref="W10:W29" si="3">V10</f>
        <v>1018.78</v>
      </c>
      <c r="X10" s="28"/>
    </row>
    <row r="11" spans="1:24" ht="38.25" x14ac:dyDescent="0.2">
      <c r="A11" s="27" t="s">
        <v>44</v>
      </c>
      <c r="B11" s="34" t="s">
        <v>44</v>
      </c>
      <c r="C11" s="27" t="s">
        <v>75</v>
      </c>
      <c r="D11" s="29" t="s">
        <v>104</v>
      </c>
      <c r="E11" s="20" t="s">
        <v>88</v>
      </c>
      <c r="F11" s="34" t="s">
        <v>222</v>
      </c>
      <c r="G11" s="30" t="s">
        <v>31</v>
      </c>
      <c r="H11" s="27" t="s">
        <v>32</v>
      </c>
      <c r="I11" s="27" t="s">
        <v>33</v>
      </c>
      <c r="J11" s="27" t="s">
        <v>139</v>
      </c>
      <c r="K11" s="31" t="s">
        <v>140</v>
      </c>
      <c r="L11" s="35">
        <v>43104</v>
      </c>
      <c r="M11" s="35">
        <v>43104</v>
      </c>
      <c r="N11" s="31">
        <f>1046.12/2</f>
        <v>523.05999999999995</v>
      </c>
      <c r="O11" s="31">
        <f>1046.12/2</f>
        <v>523.05999999999995</v>
      </c>
      <c r="P11" s="31">
        <f t="shared" si="0"/>
        <v>1046.1199999999999</v>
      </c>
      <c r="Q11" s="27"/>
      <c r="R11" s="31"/>
      <c r="S11" s="27"/>
      <c r="T11" s="31"/>
      <c r="U11" s="32">
        <f t="shared" si="1"/>
        <v>0</v>
      </c>
      <c r="V11" s="31">
        <f t="shared" si="2"/>
        <v>1046.1199999999999</v>
      </c>
      <c r="W11" s="31">
        <f t="shared" si="3"/>
        <v>1046.1199999999999</v>
      </c>
      <c r="X11" s="33"/>
    </row>
    <row r="12" spans="1:24" ht="25.5" x14ac:dyDescent="0.2">
      <c r="A12" s="27" t="s">
        <v>34</v>
      </c>
      <c r="B12" s="34" t="s">
        <v>34</v>
      </c>
      <c r="C12" s="27" t="s">
        <v>223</v>
      </c>
      <c r="D12" s="29" t="s">
        <v>104</v>
      </c>
      <c r="E12" s="20" t="s">
        <v>55</v>
      </c>
      <c r="F12" s="34" t="s">
        <v>224</v>
      </c>
      <c r="G12" s="30" t="s">
        <v>31</v>
      </c>
      <c r="H12" s="27" t="s">
        <v>32</v>
      </c>
      <c r="I12" s="27" t="s">
        <v>33</v>
      </c>
      <c r="J12" s="27" t="s">
        <v>38</v>
      </c>
      <c r="K12" s="31" t="s">
        <v>39</v>
      </c>
      <c r="L12" s="35">
        <v>43125</v>
      </c>
      <c r="M12" s="35">
        <v>43125</v>
      </c>
      <c r="N12" s="31">
        <f>991.86/2</f>
        <v>495.93</v>
      </c>
      <c r="O12" s="31">
        <f>991.86/2</f>
        <v>495.93</v>
      </c>
      <c r="P12" s="31">
        <f t="shared" si="0"/>
        <v>991.86</v>
      </c>
      <c r="Q12" s="27"/>
      <c r="R12" s="31"/>
      <c r="S12" s="27"/>
      <c r="T12" s="31"/>
      <c r="U12" s="32">
        <f t="shared" si="1"/>
        <v>0</v>
      </c>
      <c r="V12" s="31">
        <f t="shared" si="2"/>
        <v>991.86</v>
      </c>
      <c r="W12" s="31">
        <f t="shared" si="3"/>
        <v>991.86</v>
      </c>
      <c r="X12" s="33"/>
    </row>
    <row r="13" spans="1:24" ht="25.5" x14ac:dyDescent="0.2">
      <c r="A13" s="27" t="s">
        <v>49</v>
      </c>
      <c r="B13" s="27" t="s">
        <v>49</v>
      </c>
      <c r="C13" s="27" t="s">
        <v>80</v>
      </c>
      <c r="D13" s="29" t="s">
        <v>104</v>
      </c>
      <c r="E13" s="20" t="s">
        <v>90</v>
      </c>
      <c r="F13" s="34" t="s">
        <v>161</v>
      </c>
      <c r="G13" s="30" t="s">
        <v>31</v>
      </c>
      <c r="H13" s="27" t="s">
        <v>32</v>
      </c>
      <c r="I13" s="27" t="s">
        <v>33</v>
      </c>
      <c r="J13" s="27" t="s">
        <v>38</v>
      </c>
      <c r="K13" s="31" t="s">
        <v>39</v>
      </c>
      <c r="L13" s="35">
        <v>43125</v>
      </c>
      <c r="M13" s="35">
        <v>43125</v>
      </c>
      <c r="N13" s="31">
        <f>910.48/2</f>
        <v>455.24</v>
      </c>
      <c r="O13" s="31">
        <f>910.48/2</f>
        <v>455.24</v>
      </c>
      <c r="P13" s="31">
        <f t="shared" si="0"/>
        <v>910.48</v>
      </c>
      <c r="Q13" s="27"/>
      <c r="R13" s="31"/>
      <c r="S13" s="27"/>
      <c r="T13" s="31"/>
      <c r="U13" s="32">
        <f t="shared" si="1"/>
        <v>0</v>
      </c>
      <c r="V13" s="31">
        <f t="shared" si="2"/>
        <v>910.48</v>
      </c>
      <c r="W13" s="31">
        <f t="shared" si="3"/>
        <v>910.48</v>
      </c>
      <c r="X13" s="33"/>
    </row>
    <row r="14" spans="1:24" ht="14.25" x14ac:dyDescent="0.2">
      <c r="A14" s="27"/>
      <c r="B14" s="34"/>
      <c r="C14" s="27"/>
      <c r="D14" s="26"/>
      <c r="E14" s="14"/>
      <c r="F14" s="34"/>
      <c r="G14" s="30"/>
      <c r="H14" s="27"/>
      <c r="I14" s="27"/>
      <c r="J14" s="27"/>
      <c r="K14" s="31"/>
      <c r="L14" s="35"/>
      <c r="M14" s="35"/>
      <c r="N14" s="31"/>
      <c r="O14" s="31"/>
      <c r="P14" s="31">
        <f t="shared" si="0"/>
        <v>0</v>
      </c>
      <c r="Q14" s="27"/>
      <c r="R14" s="31"/>
      <c r="S14" s="27"/>
      <c r="T14" s="31"/>
      <c r="U14" s="32">
        <f t="shared" si="1"/>
        <v>0</v>
      </c>
      <c r="V14" s="31">
        <f t="shared" si="2"/>
        <v>0</v>
      </c>
      <c r="W14" s="31">
        <f t="shared" si="3"/>
        <v>0</v>
      </c>
      <c r="X14" s="33"/>
    </row>
    <row r="15" spans="1:24" ht="14.25" x14ac:dyDescent="0.2">
      <c r="A15" s="27"/>
      <c r="B15" s="27"/>
      <c r="C15" s="27"/>
      <c r="D15" s="29"/>
      <c r="E15" s="20"/>
      <c r="F15" s="34"/>
      <c r="G15" s="30"/>
      <c r="H15" s="27"/>
      <c r="I15" s="27"/>
      <c r="J15" s="27"/>
      <c r="K15" s="31"/>
      <c r="L15" s="35"/>
      <c r="M15" s="35"/>
      <c r="N15" s="31"/>
      <c r="O15" s="31"/>
      <c r="P15" s="31">
        <f t="shared" si="0"/>
        <v>0</v>
      </c>
      <c r="Q15" s="27"/>
      <c r="R15" s="31"/>
      <c r="S15" s="27"/>
      <c r="T15" s="31"/>
      <c r="U15" s="32">
        <f t="shared" si="1"/>
        <v>0</v>
      </c>
      <c r="V15" s="31">
        <f t="shared" si="2"/>
        <v>0</v>
      </c>
      <c r="W15" s="31">
        <f t="shared" si="3"/>
        <v>0</v>
      </c>
      <c r="X15" s="33"/>
    </row>
    <row r="16" spans="1:24" ht="14.25" x14ac:dyDescent="0.2">
      <c r="A16" s="27"/>
      <c r="B16" s="27"/>
      <c r="C16" s="27"/>
      <c r="D16" s="29"/>
      <c r="E16" s="34"/>
      <c r="F16" s="34"/>
      <c r="G16" s="30"/>
      <c r="H16" s="27"/>
      <c r="I16" s="27"/>
      <c r="J16" s="27"/>
      <c r="K16" s="31"/>
      <c r="L16" s="35"/>
      <c r="M16" s="35"/>
      <c r="N16" s="31"/>
      <c r="O16" s="31"/>
      <c r="P16" s="31">
        <f t="shared" si="0"/>
        <v>0</v>
      </c>
      <c r="Q16" s="27"/>
      <c r="R16" s="31"/>
      <c r="S16" s="27"/>
      <c r="T16" s="31"/>
      <c r="U16" s="32">
        <f t="shared" si="1"/>
        <v>0</v>
      </c>
      <c r="V16" s="31">
        <f t="shared" si="2"/>
        <v>0</v>
      </c>
      <c r="W16" s="31">
        <f t="shared" si="3"/>
        <v>0</v>
      </c>
      <c r="X16" s="33"/>
    </row>
    <row r="17" spans="1:24" ht="14.25" x14ac:dyDescent="0.2">
      <c r="A17" s="27"/>
      <c r="B17" s="27"/>
      <c r="C17" s="27"/>
      <c r="D17" s="29"/>
      <c r="E17" s="20"/>
      <c r="F17" s="34"/>
      <c r="G17" s="30"/>
      <c r="H17" s="27"/>
      <c r="I17" s="27"/>
      <c r="J17" s="27"/>
      <c r="K17" s="31"/>
      <c r="L17" s="35"/>
      <c r="M17" s="35"/>
      <c r="N17" s="31"/>
      <c r="O17" s="31"/>
      <c r="P17" s="31">
        <f t="shared" si="0"/>
        <v>0</v>
      </c>
      <c r="Q17" s="27"/>
      <c r="R17" s="31"/>
      <c r="S17" s="27"/>
      <c r="T17" s="31"/>
      <c r="U17" s="32">
        <f t="shared" si="1"/>
        <v>0</v>
      </c>
      <c r="V17" s="31">
        <f t="shared" si="2"/>
        <v>0</v>
      </c>
      <c r="W17" s="31">
        <f t="shared" si="3"/>
        <v>0</v>
      </c>
      <c r="X17" s="33"/>
    </row>
    <row r="18" spans="1:24" ht="14.25" x14ac:dyDescent="0.2">
      <c r="A18" s="27"/>
      <c r="B18" s="27"/>
      <c r="C18" s="27"/>
      <c r="D18" s="29"/>
      <c r="E18" s="14"/>
      <c r="F18" s="34"/>
      <c r="G18" s="30"/>
      <c r="H18" s="27"/>
      <c r="I18" s="27"/>
      <c r="J18" s="27"/>
      <c r="K18" s="31"/>
      <c r="L18" s="35"/>
      <c r="M18" s="35"/>
      <c r="N18" s="31"/>
      <c r="O18" s="31"/>
      <c r="P18" s="31">
        <f t="shared" si="0"/>
        <v>0</v>
      </c>
      <c r="Q18" s="27"/>
      <c r="R18" s="31"/>
      <c r="S18" s="27"/>
      <c r="T18" s="31"/>
      <c r="U18" s="32">
        <f t="shared" si="1"/>
        <v>0</v>
      </c>
      <c r="V18" s="31">
        <f t="shared" si="2"/>
        <v>0</v>
      </c>
      <c r="W18" s="31">
        <f t="shared" si="3"/>
        <v>0</v>
      </c>
      <c r="X18" s="33"/>
    </row>
    <row r="19" spans="1:24" ht="14.25" x14ac:dyDescent="0.2">
      <c r="A19" s="27"/>
      <c r="B19" s="27"/>
      <c r="C19" s="27"/>
      <c r="D19" s="29"/>
      <c r="E19" s="20"/>
      <c r="F19" s="34"/>
      <c r="G19" s="30"/>
      <c r="H19" s="27"/>
      <c r="I19" s="27"/>
      <c r="J19" s="27"/>
      <c r="K19" s="31"/>
      <c r="L19" s="35"/>
      <c r="M19" s="35"/>
      <c r="N19" s="31"/>
      <c r="O19" s="31"/>
      <c r="P19" s="31">
        <f t="shared" si="0"/>
        <v>0</v>
      </c>
      <c r="Q19" s="27"/>
      <c r="R19" s="31"/>
      <c r="S19" s="27"/>
      <c r="T19" s="31"/>
      <c r="U19" s="32">
        <f t="shared" si="1"/>
        <v>0</v>
      </c>
      <c r="V19" s="31">
        <f t="shared" si="2"/>
        <v>0</v>
      </c>
      <c r="W19" s="31">
        <f t="shared" si="3"/>
        <v>0</v>
      </c>
      <c r="X19" s="33"/>
    </row>
    <row r="20" spans="1:24" ht="14.25" x14ac:dyDescent="0.2">
      <c r="A20" s="27"/>
      <c r="B20" s="27"/>
      <c r="C20" s="27"/>
      <c r="D20" s="29"/>
      <c r="E20" s="20"/>
      <c r="F20" s="34"/>
      <c r="G20" s="30"/>
      <c r="H20" s="27"/>
      <c r="I20" s="27"/>
      <c r="J20" s="27"/>
      <c r="K20" s="31"/>
      <c r="L20" s="35"/>
      <c r="M20" s="35"/>
      <c r="N20" s="31"/>
      <c r="O20" s="31"/>
      <c r="P20" s="31">
        <f t="shared" si="0"/>
        <v>0</v>
      </c>
      <c r="Q20" s="27"/>
      <c r="R20" s="31"/>
      <c r="S20" s="27"/>
      <c r="T20" s="31"/>
      <c r="U20" s="32">
        <f t="shared" si="1"/>
        <v>0</v>
      </c>
      <c r="V20" s="31">
        <f t="shared" si="2"/>
        <v>0</v>
      </c>
      <c r="W20" s="31">
        <f t="shared" si="3"/>
        <v>0</v>
      </c>
      <c r="X20" s="33"/>
    </row>
    <row r="21" spans="1:24" ht="14.25" x14ac:dyDescent="0.2">
      <c r="A21" s="27"/>
      <c r="B21" s="27"/>
      <c r="C21" s="27"/>
      <c r="D21" s="29"/>
      <c r="E21" s="20"/>
      <c r="F21" s="34"/>
      <c r="G21" s="30"/>
      <c r="H21" s="27"/>
      <c r="I21" s="27"/>
      <c r="J21" s="27"/>
      <c r="K21" s="31"/>
      <c r="L21" s="35"/>
      <c r="M21" s="35"/>
      <c r="N21" s="31"/>
      <c r="O21" s="31"/>
      <c r="P21" s="31">
        <f t="shared" si="0"/>
        <v>0</v>
      </c>
      <c r="Q21" s="27"/>
      <c r="R21" s="31"/>
      <c r="S21" s="27"/>
      <c r="T21" s="31"/>
      <c r="U21" s="32">
        <f t="shared" si="1"/>
        <v>0</v>
      </c>
      <c r="V21" s="31">
        <f t="shared" si="2"/>
        <v>0</v>
      </c>
      <c r="W21" s="31">
        <f t="shared" si="3"/>
        <v>0</v>
      </c>
      <c r="X21" s="33"/>
    </row>
    <row r="22" spans="1:24" ht="14.25" x14ac:dyDescent="0.2">
      <c r="A22" s="27"/>
      <c r="B22" s="27"/>
      <c r="C22" s="27"/>
      <c r="D22" s="29"/>
      <c r="E22" s="20"/>
      <c r="F22" s="34"/>
      <c r="G22" s="30"/>
      <c r="H22" s="27"/>
      <c r="I22" s="27"/>
      <c r="J22" s="27"/>
      <c r="K22" s="31"/>
      <c r="L22" s="35"/>
      <c r="M22" s="35"/>
      <c r="N22" s="31"/>
      <c r="O22" s="31"/>
      <c r="P22" s="31">
        <f t="shared" si="0"/>
        <v>0</v>
      </c>
      <c r="Q22" s="27"/>
      <c r="R22" s="31"/>
      <c r="S22" s="27"/>
      <c r="T22" s="31"/>
      <c r="U22" s="32">
        <f t="shared" si="1"/>
        <v>0</v>
      </c>
      <c r="V22" s="31">
        <f t="shared" si="2"/>
        <v>0</v>
      </c>
      <c r="W22" s="31">
        <f t="shared" si="3"/>
        <v>0</v>
      </c>
      <c r="X22" s="33"/>
    </row>
    <row r="23" spans="1:24" ht="14.25" x14ac:dyDescent="0.2">
      <c r="A23" s="27"/>
      <c r="B23" s="27"/>
      <c r="C23" s="27"/>
      <c r="D23" s="29"/>
      <c r="E23" s="20"/>
      <c r="F23" s="34"/>
      <c r="G23" s="30"/>
      <c r="H23" s="27"/>
      <c r="I23" s="31"/>
      <c r="J23" s="27"/>
      <c r="K23" s="31"/>
      <c r="L23" s="35"/>
      <c r="M23" s="35"/>
      <c r="N23" s="31"/>
      <c r="O23" s="31"/>
      <c r="P23" s="31">
        <f t="shared" si="0"/>
        <v>0</v>
      </c>
      <c r="Q23" s="27"/>
      <c r="R23" s="31"/>
      <c r="S23" s="27"/>
      <c r="T23" s="31"/>
      <c r="U23" s="32">
        <f t="shared" si="1"/>
        <v>0</v>
      </c>
      <c r="V23" s="31">
        <f t="shared" si="2"/>
        <v>0</v>
      </c>
      <c r="W23" s="31">
        <f t="shared" si="3"/>
        <v>0</v>
      </c>
      <c r="X23" s="33"/>
    </row>
    <row r="24" spans="1:24" ht="14.25" x14ac:dyDescent="0.2">
      <c r="A24" s="27"/>
      <c r="B24" s="27"/>
      <c r="C24" s="27"/>
      <c r="D24" s="29"/>
      <c r="E24" s="20"/>
      <c r="F24" s="34"/>
      <c r="G24" s="30"/>
      <c r="H24" s="27"/>
      <c r="I24" s="31"/>
      <c r="J24" s="27"/>
      <c r="K24" s="27"/>
      <c r="L24" s="35"/>
      <c r="M24" s="35"/>
      <c r="N24" s="31"/>
      <c r="O24" s="31"/>
      <c r="P24" s="31">
        <f t="shared" si="0"/>
        <v>0</v>
      </c>
      <c r="Q24" s="27"/>
      <c r="R24" s="31"/>
      <c r="S24" s="27"/>
      <c r="T24" s="31"/>
      <c r="U24" s="32">
        <f t="shared" si="1"/>
        <v>0</v>
      </c>
      <c r="V24" s="31">
        <f t="shared" si="2"/>
        <v>0</v>
      </c>
      <c r="W24" s="31">
        <f t="shared" si="3"/>
        <v>0</v>
      </c>
      <c r="X24" s="33"/>
    </row>
    <row r="25" spans="1:24" ht="14.25" x14ac:dyDescent="0.2">
      <c r="A25" s="27"/>
      <c r="B25" s="27"/>
      <c r="C25" s="27"/>
      <c r="D25" s="29"/>
      <c r="E25" s="20"/>
      <c r="F25" s="34"/>
      <c r="G25" s="30"/>
      <c r="H25" s="27"/>
      <c r="I25" s="27"/>
      <c r="J25" s="27"/>
      <c r="K25" s="31"/>
      <c r="L25" s="35"/>
      <c r="M25" s="35"/>
      <c r="N25" s="31"/>
      <c r="O25" s="31"/>
      <c r="P25" s="31">
        <f t="shared" si="0"/>
        <v>0</v>
      </c>
      <c r="Q25" s="27"/>
      <c r="R25" s="31"/>
      <c r="S25" s="27"/>
      <c r="T25" s="31"/>
      <c r="U25" s="32">
        <f t="shared" si="1"/>
        <v>0</v>
      </c>
      <c r="V25" s="31">
        <f t="shared" si="2"/>
        <v>0</v>
      </c>
      <c r="W25" s="31">
        <f t="shared" si="3"/>
        <v>0</v>
      </c>
      <c r="X25" s="33"/>
    </row>
    <row r="26" spans="1:24" ht="14.25" x14ac:dyDescent="0.2">
      <c r="A26" s="27"/>
      <c r="B26" s="27"/>
      <c r="C26" s="27"/>
      <c r="D26" s="29"/>
      <c r="E26" s="20"/>
      <c r="F26" s="34"/>
      <c r="G26" s="30"/>
      <c r="H26" s="27"/>
      <c r="I26" s="31"/>
      <c r="J26" s="27"/>
      <c r="K26" s="31"/>
      <c r="L26" s="35"/>
      <c r="M26" s="35"/>
      <c r="N26" s="31"/>
      <c r="O26" s="31"/>
      <c r="P26" s="31">
        <f t="shared" si="0"/>
        <v>0</v>
      </c>
      <c r="Q26" s="27"/>
      <c r="R26" s="31"/>
      <c r="S26" s="27"/>
      <c r="T26" s="31"/>
      <c r="U26" s="32">
        <f t="shared" si="1"/>
        <v>0</v>
      </c>
      <c r="V26" s="31">
        <f t="shared" si="2"/>
        <v>0</v>
      </c>
      <c r="W26" s="31">
        <f t="shared" si="3"/>
        <v>0</v>
      </c>
      <c r="X26" s="33"/>
    </row>
    <row r="27" spans="1:24" ht="14.25" x14ac:dyDescent="0.2">
      <c r="A27" s="27"/>
      <c r="B27" s="27"/>
      <c r="C27" s="27"/>
      <c r="D27" s="29"/>
      <c r="E27" s="20"/>
      <c r="F27" s="34"/>
      <c r="G27" s="30"/>
      <c r="H27" s="27"/>
      <c r="I27" s="31"/>
      <c r="J27" s="27"/>
      <c r="K27" s="27"/>
      <c r="L27" s="35"/>
      <c r="M27" s="35"/>
      <c r="N27" s="31"/>
      <c r="O27" s="31"/>
      <c r="P27" s="31">
        <f t="shared" si="0"/>
        <v>0</v>
      </c>
      <c r="Q27" s="27"/>
      <c r="R27" s="31"/>
      <c r="S27" s="27"/>
      <c r="T27" s="31"/>
      <c r="U27" s="32">
        <f t="shared" si="1"/>
        <v>0</v>
      </c>
      <c r="V27" s="31">
        <f t="shared" si="2"/>
        <v>0</v>
      </c>
      <c r="W27" s="31">
        <f t="shared" si="3"/>
        <v>0</v>
      </c>
      <c r="X27" s="33"/>
    </row>
    <row r="28" spans="1:24" ht="14.25" x14ac:dyDescent="0.2">
      <c r="A28" s="27"/>
      <c r="B28" s="27"/>
      <c r="C28" s="27"/>
      <c r="D28" s="29"/>
      <c r="E28" s="20"/>
      <c r="F28" s="34"/>
      <c r="G28" s="30"/>
      <c r="H28" s="27"/>
      <c r="I28" s="27"/>
      <c r="J28" s="27"/>
      <c r="K28" s="31"/>
      <c r="L28" s="35"/>
      <c r="M28" s="35"/>
      <c r="N28" s="31"/>
      <c r="O28" s="31"/>
      <c r="P28" s="31">
        <f t="shared" si="0"/>
        <v>0</v>
      </c>
      <c r="Q28" s="27"/>
      <c r="R28" s="31"/>
      <c r="S28" s="27"/>
      <c r="T28" s="31"/>
      <c r="U28" s="32">
        <f t="shared" si="1"/>
        <v>0</v>
      </c>
      <c r="V28" s="31">
        <f t="shared" si="2"/>
        <v>0</v>
      </c>
      <c r="W28" s="31">
        <f t="shared" si="3"/>
        <v>0</v>
      </c>
      <c r="X28" s="33"/>
    </row>
    <row r="29" spans="1:24" ht="14.25" x14ac:dyDescent="0.2">
      <c r="A29" s="27"/>
      <c r="B29" s="27"/>
      <c r="C29" s="27"/>
      <c r="D29" s="29"/>
      <c r="E29" s="20"/>
      <c r="F29" s="34"/>
      <c r="G29" s="30"/>
      <c r="H29" s="27"/>
      <c r="I29" s="27"/>
      <c r="J29" s="27"/>
      <c r="K29" s="31"/>
      <c r="L29" s="35"/>
      <c r="M29" s="35"/>
      <c r="N29" s="31"/>
      <c r="O29" s="31"/>
      <c r="P29" s="31">
        <f t="shared" si="0"/>
        <v>0</v>
      </c>
      <c r="Q29" s="27"/>
      <c r="R29" s="31"/>
      <c r="S29" s="27"/>
      <c r="T29" s="31"/>
      <c r="U29" s="32">
        <f t="shared" si="1"/>
        <v>0</v>
      </c>
      <c r="V29" s="31">
        <f t="shared" si="2"/>
        <v>0</v>
      </c>
      <c r="W29" s="31">
        <f t="shared" si="3"/>
        <v>0</v>
      </c>
      <c r="X29" s="33"/>
    </row>
  </sheetData>
  <mergeCells count="27">
    <mergeCell ref="V8:V9"/>
    <mergeCell ref="N8:N9"/>
    <mergeCell ref="P8:P9"/>
    <mergeCell ref="Q8:R8"/>
    <mergeCell ref="S8:T8"/>
    <mergeCell ref="U8:U9"/>
    <mergeCell ref="G8:G9"/>
    <mergeCell ref="H8:I8"/>
    <mergeCell ref="J8:K8"/>
    <mergeCell ref="L8:L9"/>
    <mergeCell ref="M8:M9"/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</mergeCells>
  <pageMargins left="0" right="0" top="0.39370078740157505" bottom="0.39370078740157505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workbookViewId="0">
      <selection activeCell="A13" sqref="A13:B13"/>
    </sheetView>
  </sheetViews>
  <sheetFormatPr defaultRowHeight="15" customHeight="1" x14ac:dyDescent="0.2"/>
  <cols>
    <col min="1" max="1" width="19.125" customWidth="1"/>
    <col min="2" max="2" width="15.375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1" t="s">
        <v>0</v>
      </c>
      <c r="W5" s="51"/>
      <c r="X5" s="8">
        <v>43160</v>
      </c>
    </row>
    <row r="6" spans="1:24" x14ac:dyDescent="0.2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x14ac:dyDescent="0.25">
      <c r="A7" s="52" t="s">
        <v>5</v>
      </c>
      <c r="B7" s="52"/>
      <c r="C7" s="52" t="s">
        <v>6</v>
      </c>
      <c r="D7" s="52"/>
      <c r="E7" s="52"/>
      <c r="F7" s="52" t="s">
        <v>3</v>
      </c>
      <c r="G7" s="52"/>
      <c r="H7" s="52"/>
      <c r="I7" s="52"/>
      <c r="J7" s="52"/>
      <c r="K7" s="52"/>
      <c r="L7" s="52"/>
      <c r="M7" s="52"/>
      <c r="N7" s="52" t="s">
        <v>7</v>
      </c>
      <c r="O7" s="52"/>
      <c r="P7" s="52"/>
      <c r="Q7" s="52" t="s">
        <v>1</v>
      </c>
      <c r="R7" s="52"/>
      <c r="S7" s="52"/>
      <c r="T7" s="52"/>
      <c r="U7" s="52"/>
      <c r="V7" s="52"/>
      <c r="W7" s="52" t="s">
        <v>8</v>
      </c>
      <c r="X7" s="52" t="s">
        <v>9</v>
      </c>
    </row>
    <row r="8" spans="1:24" s="9" customFormat="1" x14ac:dyDescent="0.25">
      <c r="A8" s="53" t="s">
        <v>10</v>
      </c>
      <c r="B8" s="53" t="s">
        <v>11</v>
      </c>
      <c r="C8" s="53" t="s">
        <v>12</v>
      </c>
      <c r="D8" s="53" t="s">
        <v>13</v>
      </c>
      <c r="E8" s="53" t="s">
        <v>14</v>
      </c>
      <c r="F8" s="53" t="s">
        <v>15</v>
      </c>
      <c r="G8" s="53" t="s">
        <v>16</v>
      </c>
      <c r="H8" s="53" t="s">
        <v>17</v>
      </c>
      <c r="I8" s="53"/>
      <c r="J8" s="54" t="s">
        <v>18</v>
      </c>
      <c r="K8" s="54"/>
      <c r="L8" s="53" t="s">
        <v>19</v>
      </c>
      <c r="M8" s="53" t="s">
        <v>20</v>
      </c>
      <c r="N8" s="54" t="s">
        <v>21</v>
      </c>
      <c r="O8" s="54" t="s">
        <v>22</v>
      </c>
      <c r="P8" s="54" t="s">
        <v>23</v>
      </c>
      <c r="Q8" s="54" t="s">
        <v>24</v>
      </c>
      <c r="R8" s="54"/>
      <c r="S8" s="54" t="s">
        <v>25</v>
      </c>
      <c r="T8" s="54"/>
      <c r="U8" s="53" t="s">
        <v>26</v>
      </c>
      <c r="V8" s="54" t="s">
        <v>23</v>
      </c>
      <c r="W8" s="52"/>
      <c r="X8" s="52"/>
    </row>
    <row r="9" spans="1:24" s="9" customFormat="1" ht="17.25" customHeight="1" x14ac:dyDescent="0.25">
      <c r="A9" s="53"/>
      <c r="B9" s="53"/>
      <c r="C9" s="53"/>
      <c r="D9" s="53"/>
      <c r="E9" s="53"/>
      <c r="F9" s="53"/>
      <c r="G9" s="53"/>
      <c r="H9" s="10" t="s">
        <v>27</v>
      </c>
      <c r="I9" s="10" t="s">
        <v>28</v>
      </c>
      <c r="J9" s="10" t="s">
        <v>27</v>
      </c>
      <c r="K9" s="11" t="s">
        <v>29</v>
      </c>
      <c r="L9" s="53"/>
      <c r="M9" s="53"/>
      <c r="N9" s="54"/>
      <c r="O9" s="54"/>
      <c r="P9" s="54"/>
      <c r="Q9" s="10" t="s">
        <v>2</v>
      </c>
      <c r="R9" s="11" t="s">
        <v>30</v>
      </c>
      <c r="S9" s="10" t="s">
        <v>2</v>
      </c>
      <c r="T9" s="11" t="s">
        <v>30</v>
      </c>
      <c r="U9" s="53"/>
      <c r="V9" s="54"/>
      <c r="W9" s="52"/>
      <c r="X9" s="52"/>
    </row>
    <row r="10" spans="1:24" ht="47.25" customHeight="1" x14ac:dyDescent="0.2">
      <c r="A10" s="34" t="s">
        <v>231</v>
      </c>
      <c r="B10" s="34" t="s">
        <v>225</v>
      </c>
      <c r="C10" s="34" t="s">
        <v>42</v>
      </c>
      <c r="D10" s="29" t="s">
        <v>68</v>
      </c>
      <c r="E10" s="20" t="s">
        <v>54</v>
      </c>
      <c r="F10" s="34" t="s">
        <v>226</v>
      </c>
      <c r="G10" s="30" t="s">
        <v>31</v>
      </c>
      <c r="H10" s="27" t="s">
        <v>32</v>
      </c>
      <c r="I10" s="27" t="s">
        <v>33</v>
      </c>
      <c r="J10" s="27" t="s">
        <v>38</v>
      </c>
      <c r="K10" s="31" t="s">
        <v>39</v>
      </c>
      <c r="L10" s="35">
        <v>43179</v>
      </c>
      <c r="M10" s="35">
        <v>43181</v>
      </c>
      <c r="N10" s="31">
        <f>813.71/2</f>
        <v>406.85500000000002</v>
      </c>
      <c r="O10" s="31">
        <f>813.71/2</f>
        <v>406.85500000000002</v>
      </c>
      <c r="P10" s="31">
        <f t="shared" ref="P10:P14" si="0">N10+O10</f>
        <v>813.71</v>
      </c>
      <c r="Q10" s="27">
        <v>6</v>
      </c>
      <c r="R10" s="31">
        <v>120</v>
      </c>
      <c r="S10" s="27"/>
      <c r="T10" s="31"/>
      <c r="U10" s="32">
        <f t="shared" ref="U10:U14" si="1">(Q10*R10)+(S10*T10)</f>
        <v>720</v>
      </c>
      <c r="V10" s="31">
        <f t="shared" ref="V10:V14" si="2">P10+U10</f>
        <v>1533.71</v>
      </c>
      <c r="W10" s="31">
        <f t="shared" ref="W10:W14" si="3">V10</f>
        <v>1533.71</v>
      </c>
      <c r="X10" s="28"/>
    </row>
    <row r="11" spans="1:24" ht="63.75" x14ac:dyDescent="0.2">
      <c r="A11" s="34" t="s">
        <v>232</v>
      </c>
      <c r="B11" s="34" t="s">
        <v>227</v>
      </c>
      <c r="C11" s="27" t="s">
        <v>114</v>
      </c>
      <c r="D11" s="29" t="s">
        <v>115</v>
      </c>
      <c r="E11" s="20" t="s">
        <v>130</v>
      </c>
      <c r="F11" s="34" t="s">
        <v>228</v>
      </c>
      <c r="G11" s="30" t="s">
        <v>31</v>
      </c>
      <c r="H11" s="27" t="s">
        <v>32</v>
      </c>
      <c r="I11" s="27" t="s">
        <v>33</v>
      </c>
      <c r="J11" s="27" t="s">
        <v>38</v>
      </c>
      <c r="K11" s="31" t="s">
        <v>39</v>
      </c>
      <c r="L11" s="35">
        <v>43173</v>
      </c>
      <c r="M11" s="35">
        <v>43175</v>
      </c>
      <c r="N11" s="31">
        <f>982.25/2</f>
        <v>491.125</v>
      </c>
      <c r="O11" s="31">
        <f>982.25/2</f>
        <v>491.125</v>
      </c>
      <c r="P11" s="31">
        <f t="shared" si="0"/>
        <v>982.25</v>
      </c>
      <c r="Q11" s="27">
        <v>3</v>
      </c>
      <c r="R11" s="31">
        <v>120</v>
      </c>
      <c r="S11" s="27"/>
      <c r="T11" s="31"/>
      <c r="U11" s="32">
        <f t="shared" si="1"/>
        <v>360</v>
      </c>
      <c r="V11" s="31">
        <f t="shared" si="2"/>
        <v>1342.25</v>
      </c>
      <c r="W11" s="31">
        <f t="shared" si="3"/>
        <v>1342.25</v>
      </c>
      <c r="X11" s="33"/>
    </row>
    <row r="12" spans="1:24" ht="25.5" x14ac:dyDescent="0.2">
      <c r="A12" s="34" t="s">
        <v>232</v>
      </c>
      <c r="B12" s="34" t="s">
        <v>229</v>
      </c>
      <c r="C12" s="27" t="s">
        <v>80</v>
      </c>
      <c r="D12" s="29" t="s">
        <v>104</v>
      </c>
      <c r="E12" s="20" t="s">
        <v>90</v>
      </c>
      <c r="F12" s="34" t="s">
        <v>230</v>
      </c>
      <c r="G12" s="30" t="s">
        <v>31</v>
      </c>
      <c r="H12" s="27" t="s">
        <v>32</v>
      </c>
      <c r="I12" s="27" t="s">
        <v>33</v>
      </c>
      <c r="J12" s="27" t="s">
        <v>38</v>
      </c>
      <c r="K12" s="31" t="s">
        <v>39</v>
      </c>
      <c r="L12" s="35">
        <v>43180</v>
      </c>
      <c r="M12" s="35">
        <v>43181</v>
      </c>
      <c r="N12" s="31">
        <f>1009.21/2</f>
        <v>504.60500000000002</v>
      </c>
      <c r="O12" s="31">
        <f>1009.21/2</f>
        <v>504.60500000000002</v>
      </c>
      <c r="P12" s="31">
        <f t="shared" si="0"/>
        <v>1009.21</v>
      </c>
      <c r="Q12" s="27"/>
      <c r="R12" s="31"/>
      <c r="S12" s="27"/>
      <c r="T12" s="31"/>
      <c r="U12" s="32">
        <f t="shared" si="1"/>
        <v>0</v>
      </c>
      <c r="V12" s="31">
        <f t="shared" si="2"/>
        <v>1009.21</v>
      </c>
      <c r="W12" s="31">
        <f t="shared" si="3"/>
        <v>1009.21</v>
      </c>
      <c r="X12" s="33"/>
    </row>
    <row r="13" spans="1:24" ht="38.25" x14ac:dyDescent="0.2">
      <c r="A13" s="34" t="s">
        <v>232</v>
      </c>
      <c r="B13" s="34" t="s">
        <v>215</v>
      </c>
      <c r="C13" s="27" t="s">
        <v>48</v>
      </c>
      <c r="D13" s="29" t="s">
        <v>81</v>
      </c>
      <c r="E13" s="20" t="s">
        <v>56</v>
      </c>
      <c r="F13" s="34" t="s">
        <v>230</v>
      </c>
      <c r="G13" s="30" t="s">
        <v>31</v>
      </c>
      <c r="H13" s="27" t="s">
        <v>32</v>
      </c>
      <c r="I13" s="27" t="s">
        <v>33</v>
      </c>
      <c r="J13" s="27" t="s">
        <v>38</v>
      </c>
      <c r="K13" s="31" t="s">
        <v>39</v>
      </c>
      <c r="L13" s="35">
        <v>43180</v>
      </c>
      <c r="M13" s="35">
        <v>43181</v>
      </c>
      <c r="N13" s="31">
        <f>1330.96/2</f>
        <v>665.48</v>
      </c>
      <c r="O13" s="31">
        <f>1330.96/2</f>
        <v>665.48</v>
      </c>
      <c r="P13" s="31">
        <f t="shared" si="0"/>
        <v>1330.96</v>
      </c>
      <c r="Q13" s="27">
        <v>4</v>
      </c>
      <c r="R13" s="31">
        <v>120</v>
      </c>
      <c r="S13" s="27"/>
      <c r="T13" s="31"/>
      <c r="U13" s="32">
        <f t="shared" si="1"/>
        <v>480</v>
      </c>
      <c r="V13" s="31">
        <f t="shared" si="2"/>
        <v>1810.96</v>
      </c>
      <c r="W13" s="31">
        <f t="shared" si="3"/>
        <v>1810.96</v>
      </c>
      <c r="X13" s="33"/>
    </row>
    <row r="14" spans="1:24" ht="38.25" x14ac:dyDescent="0.2">
      <c r="A14" s="34" t="s">
        <v>233</v>
      </c>
      <c r="B14" s="34" t="s">
        <v>233</v>
      </c>
      <c r="C14" s="27" t="s">
        <v>223</v>
      </c>
      <c r="D14" s="26" t="s">
        <v>104</v>
      </c>
      <c r="E14" s="20" t="s">
        <v>55</v>
      </c>
      <c r="F14" s="34" t="s">
        <v>47</v>
      </c>
      <c r="G14" s="30" t="s">
        <v>31</v>
      </c>
      <c r="H14" s="27" t="s">
        <v>32</v>
      </c>
      <c r="I14" s="27" t="s">
        <v>33</v>
      </c>
      <c r="J14" s="27" t="s">
        <v>38</v>
      </c>
      <c r="K14" s="31" t="s">
        <v>39</v>
      </c>
      <c r="L14" s="35">
        <v>43186</v>
      </c>
      <c r="M14" s="35">
        <v>43187</v>
      </c>
      <c r="N14" s="31">
        <f>2462.46/2</f>
        <v>1231.23</v>
      </c>
      <c r="O14" s="31">
        <f>2462.46/2</f>
        <v>1231.23</v>
      </c>
      <c r="P14" s="31">
        <f t="shared" si="0"/>
        <v>2462.46</v>
      </c>
      <c r="Q14" s="27"/>
      <c r="R14" s="31"/>
      <c r="S14" s="27"/>
      <c r="T14" s="31"/>
      <c r="U14" s="32">
        <f t="shared" si="1"/>
        <v>0</v>
      </c>
      <c r="V14" s="31">
        <f t="shared" si="2"/>
        <v>2462.46</v>
      </c>
      <c r="W14" s="31">
        <f t="shared" si="3"/>
        <v>2462.46</v>
      </c>
      <c r="X14" s="33"/>
    </row>
  </sheetData>
  <mergeCells count="27"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V8:V9"/>
    <mergeCell ref="N8:N9"/>
    <mergeCell ref="P8:P9"/>
    <mergeCell ref="Q8:R8"/>
    <mergeCell ref="S8:T8"/>
    <mergeCell ref="U8:U9"/>
  </mergeCells>
  <pageMargins left="0" right="0" top="0.39370078740157505" bottom="0.39370078740157505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D13" sqref="D13:E13"/>
    </sheetView>
  </sheetViews>
  <sheetFormatPr defaultRowHeight="15" customHeight="1" x14ac:dyDescent="0.2"/>
  <cols>
    <col min="1" max="1" width="19.125" customWidth="1"/>
    <col min="2" max="2" width="28.875" bestFit="1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23" width="18" customWidth="1"/>
    <col min="24" max="24" width="38.375" customWidth="1"/>
    <col min="25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1" t="s">
        <v>0</v>
      </c>
      <c r="W5" s="51"/>
      <c r="X5" s="8">
        <v>43191</v>
      </c>
    </row>
    <row r="6" spans="1:24" x14ac:dyDescent="0.2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x14ac:dyDescent="0.25">
      <c r="A7" s="52" t="s">
        <v>5</v>
      </c>
      <c r="B7" s="52"/>
      <c r="C7" s="52" t="s">
        <v>6</v>
      </c>
      <c r="D7" s="52"/>
      <c r="E7" s="52"/>
      <c r="F7" s="52" t="s">
        <v>3</v>
      </c>
      <c r="G7" s="52"/>
      <c r="H7" s="52"/>
      <c r="I7" s="52"/>
      <c r="J7" s="52"/>
      <c r="K7" s="52"/>
      <c r="L7" s="52"/>
      <c r="M7" s="52"/>
      <c r="N7" s="52" t="s">
        <v>7</v>
      </c>
      <c r="O7" s="52"/>
      <c r="P7" s="52"/>
      <c r="Q7" s="52" t="s">
        <v>1</v>
      </c>
      <c r="R7" s="52"/>
      <c r="S7" s="52"/>
      <c r="T7" s="52"/>
      <c r="U7" s="52"/>
      <c r="V7" s="52"/>
      <c r="W7" s="52" t="s">
        <v>8</v>
      </c>
      <c r="X7" s="52" t="s">
        <v>9</v>
      </c>
    </row>
    <row r="8" spans="1:24" s="9" customFormat="1" x14ac:dyDescent="0.25">
      <c r="A8" s="53" t="s">
        <v>10</v>
      </c>
      <c r="B8" s="53" t="s">
        <v>11</v>
      </c>
      <c r="C8" s="53" t="s">
        <v>12</v>
      </c>
      <c r="D8" s="53" t="s">
        <v>13</v>
      </c>
      <c r="E8" s="53" t="s">
        <v>14</v>
      </c>
      <c r="F8" s="53" t="s">
        <v>15</v>
      </c>
      <c r="G8" s="53" t="s">
        <v>16</v>
      </c>
      <c r="H8" s="53" t="s">
        <v>17</v>
      </c>
      <c r="I8" s="53"/>
      <c r="J8" s="54" t="s">
        <v>18</v>
      </c>
      <c r="K8" s="54"/>
      <c r="L8" s="53" t="s">
        <v>19</v>
      </c>
      <c r="M8" s="53" t="s">
        <v>20</v>
      </c>
      <c r="N8" s="54" t="s">
        <v>21</v>
      </c>
      <c r="O8" s="54" t="s">
        <v>22</v>
      </c>
      <c r="P8" s="54" t="s">
        <v>23</v>
      </c>
      <c r="Q8" s="54" t="s">
        <v>24</v>
      </c>
      <c r="R8" s="54"/>
      <c r="S8" s="54" t="s">
        <v>25</v>
      </c>
      <c r="T8" s="54"/>
      <c r="U8" s="53" t="s">
        <v>26</v>
      </c>
      <c r="V8" s="54" t="s">
        <v>23</v>
      </c>
      <c r="W8" s="52"/>
      <c r="X8" s="52"/>
    </row>
    <row r="9" spans="1:24" s="9" customFormat="1" ht="17.25" customHeight="1" x14ac:dyDescent="0.25">
      <c r="A9" s="53"/>
      <c r="B9" s="53"/>
      <c r="C9" s="53"/>
      <c r="D9" s="53"/>
      <c r="E9" s="53"/>
      <c r="F9" s="53"/>
      <c r="G9" s="53"/>
      <c r="H9" s="10" t="s">
        <v>27</v>
      </c>
      <c r="I9" s="10" t="s">
        <v>28</v>
      </c>
      <c r="J9" s="10" t="s">
        <v>27</v>
      </c>
      <c r="K9" s="11" t="s">
        <v>29</v>
      </c>
      <c r="L9" s="53"/>
      <c r="M9" s="53"/>
      <c r="N9" s="54"/>
      <c r="O9" s="54"/>
      <c r="P9" s="54"/>
      <c r="Q9" s="10" t="s">
        <v>2</v>
      </c>
      <c r="R9" s="11" t="s">
        <v>30</v>
      </c>
      <c r="S9" s="10" t="s">
        <v>2</v>
      </c>
      <c r="T9" s="11" t="s">
        <v>30</v>
      </c>
      <c r="U9" s="53"/>
      <c r="V9" s="54"/>
      <c r="W9" s="52"/>
      <c r="X9" s="52"/>
    </row>
    <row r="10" spans="1:24" ht="47.25" customHeight="1" x14ac:dyDescent="0.2">
      <c r="A10" s="34" t="s">
        <v>233</v>
      </c>
      <c r="B10" s="34" t="s">
        <v>234</v>
      </c>
      <c r="C10" s="34" t="s">
        <v>183</v>
      </c>
      <c r="D10" s="29" t="s">
        <v>188</v>
      </c>
      <c r="E10" s="34" t="s">
        <v>207</v>
      </c>
      <c r="F10" s="34" t="s">
        <v>235</v>
      </c>
      <c r="G10" s="30" t="s">
        <v>31</v>
      </c>
      <c r="H10" s="27" t="s">
        <v>32</v>
      </c>
      <c r="I10" s="27" t="s">
        <v>33</v>
      </c>
      <c r="J10" s="27" t="s">
        <v>111</v>
      </c>
      <c r="K10" s="31" t="s">
        <v>112</v>
      </c>
      <c r="L10" s="35">
        <v>43201</v>
      </c>
      <c r="M10" s="35">
        <v>43203</v>
      </c>
      <c r="N10" s="31">
        <f>756.55/2</f>
        <v>378.27499999999998</v>
      </c>
      <c r="O10" s="31">
        <f>756.55/2</f>
        <v>378.27499999999998</v>
      </c>
      <c r="P10" s="31">
        <f>N10+O10</f>
        <v>756.55</v>
      </c>
      <c r="Q10" s="27">
        <v>2</v>
      </c>
      <c r="R10" s="31">
        <v>120</v>
      </c>
      <c r="S10" s="27">
        <v>1</v>
      </c>
      <c r="T10" s="31">
        <v>25</v>
      </c>
      <c r="U10" s="32">
        <f t="shared" ref="U10:U17" si="0">(Q10*R10)+(S10*T10)</f>
        <v>265</v>
      </c>
      <c r="V10" s="31">
        <f t="shared" ref="V10:V17" si="1">P10+U10</f>
        <v>1021.55</v>
      </c>
      <c r="W10" s="31">
        <f t="shared" ref="W10:W17" si="2">V10</f>
        <v>1021.55</v>
      </c>
      <c r="X10" s="37" t="s">
        <v>237</v>
      </c>
    </row>
    <row r="11" spans="1:24" ht="51" x14ac:dyDescent="0.2">
      <c r="A11" s="34" t="s">
        <v>233</v>
      </c>
      <c r="B11" s="34" t="s">
        <v>234</v>
      </c>
      <c r="C11" s="27" t="s">
        <v>236</v>
      </c>
      <c r="D11" s="29" t="s">
        <v>243</v>
      </c>
      <c r="E11" s="34" t="s">
        <v>244</v>
      </c>
      <c r="F11" s="34" t="s">
        <v>235</v>
      </c>
      <c r="G11" s="30" t="s">
        <v>31</v>
      </c>
      <c r="H11" s="27" t="s">
        <v>32</v>
      </c>
      <c r="I11" s="27" t="s">
        <v>33</v>
      </c>
      <c r="J11" s="27" t="s">
        <v>111</v>
      </c>
      <c r="K11" s="31" t="s">
        <v>112</v>
      </c>
      <c r="L11" s="35">
        <v>43201</v>
      </c>
      <c r="M11" s="35">
        <v>43203</v>
      </c>
      <c r="N11" s="31">
        <f>756.55/2</f>
        <v>378.27499999999998</v>
      </c>
      <c r="O11" s="31">
        <f>756.55/2</f>
        <v>378.27499999999998</v>
      </c>
      <c r="P11" s="31">
        <f t="shared" ref="P11:P17" si="3">N11+O11</f>
        <v>756.55</v>
      </c>
      <c r="Q11" s="27">
        <v>2</v>
      </c>
      <c r="R11" s="31">
        <v>120</v>
      </c>
      <c r="S11" s="27">
        <v>0</v>
      </c>
      <c r="T11" s="31">
        <v>0</v>
      </c>
      <c r="U11" s="32">
        <f t="shared" si="0"/>
        <v>240</v>
      </c>
      <c r="V11" s="31">
        <f t="shared" si="1"/>
        <v>996.55</v>
      </c>
      <c r="W11" s="31">
        <f t="shared" si="2"/>
        <v>996.55</v>
      </c>
      <c r="X11" s="33"/>
    </row>
    <row r="12" spans="1:24" ht="38.25" x14ac:dyDescent="0.2">
      <c r="A12" s="34" t="s">
        <v>231</v>
      </c>
      <c r="B12" s="34" t="s">
        <v>238</v>
      </c>
      <c r="C12" s="27" t="s">
        <v>134</v>
      </c>
      <c r="D12" s="29" t="s">
        <v>149</v>
      </c>
      <c r="E12" s="34" t="s">
        <v>150</v>
      </c>
      <c r="F12" s="34" t="s">
        <v>235</v>
      </c>
      <c r="G12" s="30" t="s">
        <v>31</v>
      </c>
      <c r="H12" s="27" t="s">
        <v>32</v>
      </c>
      <c r="I12" s="27" t="s">
        <v>33</v>
      </c>
      <c r="J12" s="27" t="s">
        <v>111</v>
      </c>
      <c r="K12" s="31" t="s">
        <v>112</v>
      </c>
      <c r="L12" s="35">
        <v>43201</v>
      </c>
      <c r="M12" s="35">
        <v>43203</v>
      </c>
      <c r="N12" s="31">
        <f>792.22/2</f>
        <v>396.11</v>
      </c>
      <c r="O12" s="31">
        <f>792.22/2</f>
        <v>396.11</v>
      </c>
      <c r="P12" s="31">
        <f t="shared" si="3"/>
        <v>792.22</v>
      </c>
      <c r="Q12" s="27">
        <v>5</v>
      </c>
      <c r="R12" s="31">
        <v>120</v>
      </c>
      <c r="S12" s="27">
        <v>0</v>
      </c>
      <c r="T12" s="31">
        <v>0</v>
      </c>
      <c r="U12" s="32">
        <f t="shared" si="0"/>
        <v>600</v>
      </c>
      <c r="V12" s="31">
        <f t="shared" si="1"/>
        <v>1392.22</v>
      </c>
      <c r="W12" s="31">
        <f t="shared" si="2"/>
        <v>1392.22</v>
      </c>
      <c r="X12" s="33"/>
    </row>
    <row r="13" spans="1:24" ht="25.5" x14ac:dyDescent="0.2">
      <c r="A13" s="34" t="s">
        <v>232</v>
      </c>
      <c r="B13" s="34" t="s">
        <v>239</v>
      </c>
      <c r="C13" s="27" t="s">
        <v>123</v>
      </c>
      <c r="D13" s="29" t="s">
        <v>124</v>
      </c>
      <c r="E13" s="34" t="s">
        <v>132</v>
      </c>
      <c r="F13" s="34" t="s">
        <v>240</v>
      </c>
      <c r="G13" s="30" t="s">
        <v>31</v>
      </c>
      <c r="H13" s="27" t="s">
        <v>32</v>
      </c>
      <c r="I13" s="27" t="s">
        <v>33</v>
      </c>
      <c r="J13" s="27" t="s">
        <v>38</v>
      </c>
      <c r="K13" s="31" t="s">
        <v>39</v>
      </c>
      <c r="L13" s="35">
        <v>43216</v>
      </c>
      <c r="M13" s="35">
        <v>43217</v>
      </c>
      <c r="N13" s="31">
        <f>1052.65/2</f>
        <v>526.32500000000005</v>
      </c>
      <c r="O13" s="31">
        <f>1052.65/2</f>
        <v>526.32500000000005</v>
      </c>
      <c r="P13" s="31">
        <f t="shared" si="3"/>
        <v>1052.6500000000001</v>
      </c>
      <c r="Q13" s="27">
        <v>2</v>
      </c>
      <c r="R13" s="31">
        <v>120</v>
      </c>
      <c r="S13" s="27">
        <v>0</v>
      </c>
      <c r="T13" s="31">
        <v>0</v>
      </c>
      <c r="U13" s="32">
        <f t="shared" si="0"/>
        <v>240</v>
      </c>
      <c r="V13" s="31">
        <f t="shared" si="1"/>
        <v>1292.6500000000001</v>
      </c>
      <c r="W13" s="31">
        <f t="shared" si="2"/>
        <v>1292.6500000000001</v>
      </c>
      <c r="X13" s="33"/>
    </row>
    <row r="14" spans="1:24" ht="25.5" x14ac:dyDescent="0.2">
      <c r="A14" s="34" t="s">
        <v>232</v>
      </c>
      <c r="B14" s="34" t="s">
        <v>232</v>
      </c>
      <c r="C14" s="27" t="s">
        <v>80</v>
      </c>
      <c r="D14" s="29" t="s">
        <v>104</v>
      </c>
      <c r="E14" s="20" t="s">
        <v>90</v>
      </c>
      <c r="F14" s="34" t="s">
        <v>241</v>
      </c>
      <c r="G14" s="30" t="s">
        <v>31</v>
      </c>
      <c r="H14" s="27" t="s">
        <v>32</v>
      </c>
      <c r="I14" s="27" t="s">
        <v>33</v>
      </c>
      <c r="J14" s="27" t="s">
        <v>111</v>
      </c>
      <c r="K14" s="31" t="s">
        <v>112</v>
      </c>
      <c r="L14" s="35">
        <v>43208</v>
      </c>
      <c r="M14" s="35">
        <v>43208</v>
      </c>
      <c r="N14" s="31">
        <f>611.51/2</f>
        <v>305.755</v>
      </c>
      <c r="O14" s="31">
        <f>611.51/2</f>
        <v>305.755</v>
      </c>
      <c r="P14" s="31">
        <f t="shared" si="3"/>
        <v>611.51</v>
      </c>
      <c r="Q14" s="27">
        <v>0</v>
      </c>
      <c r="R14" s="31">
        <v>0</v>
      </c>
      <c r="S14" s="27">
        <v>0</v>
      </c>
      <c r="T14" s="31">
        <v>0</v>
      </c>
      <c r="U14" s="32">
        <f t="shared" si="0"/>
        <v>0</v>
      </c>
      <c r="V14" s="31">
        <f t="shared" si="1"/>
        <v>611.51</v>
      </c>
      <c r="W14" s="31">
        <f t="shared" si="2"/>
        <v>611.51</v>
      </c>
      <c r="X14" s="33"/>
    </row>
    <row r="15" spans="1:24" ht="25.5" x14ac:dyDescent="0.2">
      <c r="A15" s="34" t="s">
        <v>232</v>
      </c>
      <c r="B15" s="34" t="s">
        <v>215</v>
      </c>
      <c r="C15" s="27" t="s">
        <v>48</v>
      </c>
      <c r="D15" s="29" t="s">
        <v>81</v>
      </c>
      <c r="E15" s="20" t="s">
        <v>56</v>
      </c>
      <c r="F15" s="34" t="s">
        <v>241</v>
      </c>
      <c r="G15" s="30" t="s">
        <v>31</v>
      </c>
      <c r="H15" s="27" t="s">
        <v>32</v>
      </c>
      <c r="I15" s="27" t="s">
        <v>33</v>
      </c>
      <c r="J15" s="27" t="s">
        <v>111</v>
      </c>
      <c r="K15" s="31" t="s">
        <v>112</v>
      </c>
      <c r="L15" s="35">
        <v>43208</v>
      </c>
      <c r="M15" s="35">
        <v>43208</v>
      </c>
      <c r="N15" s="31">
        <f>611.51/2</f>
        <v>305.755</v>
      </c>
      <c r="O15" s="31">
        <f>611.51/2</f>
        <v>305.755</v>
      </c>
      <c r="P15" s="31">
        <f t="shared" si="3"/>
        <v>611.51</v>
      </c>
      <c r="Q15" s="27">
        <v>3</v>
      </c>
      <c r="R15" s="31">
        <v>120</v>
      </c>
      <c r="S15" s="27"/>
      <c r="T15" s="31"/>
      <c r="U15" s="32">
        <f t="shared" si="0"/>
        <v>360</v>
      </c>
      <c r="V15" s="31">
        <f t="shared" si="1"/>
        <v>971.51</v>
      </c>
      <c r="W15" s="31">
        <f t="shared" si="2"/>
        <v>971.51</v>
      </c>
      <c r="X15" s="33"/>
    </row>
    <row r="16" spans="1:24" ht="38.25" x14ac:dyDescent="0.2">
      <c r="A16" s="34" t="s">
        <v>232</v>
      </c>
      <c r="B16" s="34" t="s">
        <v>232</v>
      </c>
      <c r="C16" s="27" t="s">
        <v>80</v>
      </c>
      <c r="D16" s="29" t="s">
        <v>104</v>
      </c>
      <c r="E16" s="20" t="s">
        <v>90</v>
      </c>
      <c r="F16" s="34" t="s">
        <v>242</v>
      </c>
      <c r="G16" s="30" t="s">
        <v>31</v>
      </c>
      <c r="H16" s="27" t="s">
        <v>32</v>
      </c>
      <c r="I16" s="27" t="s">
        <v>33</v>
      </c>
      <c r="J16" s="27" t="s">
        <v>38</v>
      </c>
      <c r="K16" s="31" t="s">
        <v>39</v>
      </c>
      <c r="L16" s="35">
        <v>43214</v>
      </c>
      <c r="M16" s="35">
        <v>43215</v>
      </c>
      <c r="N16" s="31">
        <v>790.16</v>
      </c>
      <c r="O16" s="31">
        <v>464.01</v>
      </c>
      <c r="P16" s="31">
        <f t="shared" si="3"/>
        <v>1254.17</v>
      </c>
      <c r="Q16" s="27">
        <v>0</v>
      </c>
      <c r="R16" s="31">
        <v>0</v>
      </c>
      <c r="S16" s="27">
        <v>0</v>
      </c>
      <c r="T16" s="31">
        <v>0</v>
      </c>
      <c r="U16" s="32">
        <f t="shared" si="0"/>
        <v>0</v>
      </c>
      <c r="V16" s="31">
        <f t="shared" si="1"/>
        <v>1254.17</v>
      </c>
      <c r="W16" s="31">
        <f t="shared" si="2"/>
        <v>1254.17</v>
      </c>
      <c r="X16" s="33"/>
    </row>
    <row r="17" spans="1:24" ht="38.25" x14ac:dyDescent="0.2">
      <c r="A17" s="34" t="s">
        <v>232</v>
      </c>
      <c r="B17" s="34" t="s">
        <v>215</v>
      </c>
      <c r="C17" s="27" t="s">
        <v>48</v>
      </c>
      <c r="D17" s="29" t="s">
        <v>81</v>
      </c>
      <c r="E17" s="20" t="s">
        <v>56</v>
      </c>
      <c r="F17" s="34" t="s">
        <v>242</v>
      </c>
      <c r="G17" s="30" t="s">
        <v>31</v>
      </c>
      <c r="H17" s="27" t="s">
        <v>32</v>
      </c>
      <c r="I17" s="27" t="s">
        <v>33</v>
      </c>
      <c r="J17" s="27" t="s">
        <v>38</v>
      </c>
      <c r="K17" s="31" t="s">
        <v>39</v>
      </c>
      <c r="L17" s="35">
        <v>43214</v>
      </c>
      <c r="M17" s="35">
        <v>43215</v>
      </c>
      <c r="N17" s="31">
        <v>790.16</v>
      </c>
      <c r="O17" s="31">
        <v>464.01</v>
      </c>
      <c r="P17" s="31">
        <f t="shared" si="3"/>
        <v>1254.17</v>
      </c>
      <c r="Q17" s="27">
        <v>4</v>
      </c>
      <c r="R17" s="31">
        <v>120</v>
      </c>
      <c r="S17" s="27">
        <v>0</v>
      </c>
      <c r="T17" s="31">
        <v>0</v>
      </c>
      <c r="U17" s="32">
        <f t="shared" si="0"/>
        <v>480</v>
      </c>
      <c r="V17" s="31">
        <f t="shared" si="1"/>
        <v>1734.17</v>
      </c>
      <c r="W17" s="31">
        <f t="shared" si="2"/>
        <v>1734.17</v>
      </c>
      <c r="X17" s="33"/>
    </row>
  </sheetData>
  <mergeCells count="27">
    <mergeCell ref="V8:V9"/>
    <mergeCell ref="N8:N9"/>
    <mergeCell ref="P8:P9"/>
    <mergeCell ref="Q8:R8"/>
    <mergeCell ref="S8:T8"/>
    <mergeCell ref="U8:U9"/>
    <mergeCell ref="G8:G9"/>
    <mergeCell ref="H8:I8"/>
    <mergeCell ref="J8:K8"/>
    <mergeCell ref="L8:L9"/>
    <mergeCell ref="M8:M9"/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</mergeCells>
  <pageMargins left="0" right="0" top="0.39370078740157505" bottom="0.39370078740157505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EXECUTADO_-_JUL_-_2017</vt:lpstr>
      <vt:lpstr>EXECUTADO_-_AGO_-_2017 </vt:lpstr>
      <vt:lpstr>EXECUTADO_-_SET_-_2017  </vt:lpstr>
      <vt:lpstr>EXECUTADO_-_OUT_-_2017</vt:lpstr>
      <vt:lpstr>EXECUTADO_-_NOV_-_2017 </vt:lpstr>
      <vt:lpstr>EXECUTADO_-_DEZ_-_2017</vt:lpstr>
      <vt:lpstr>EXECUTADO_-_JAN_-_2018</vt:lpstr>
      <vt:lpstr>EXECUTADO_-_MARÇO_-_2018</vt:lpstr>
      <vt:lpstr>EXECUTADO_-_ABRIL_-_2018</vt:lpstr>
      <vt:lpstr>EXECUTADO_-_JUNHO_-_2018</vt:lpstr>
      <vt:lpstr>EXECUTADO_-_JULHO_-_2018</vt:lpstr>
      <vt:lpstr>EXECUTADO_-AGOSTO -_2018</vt:lpstr>
      <vt:lpstr>EXECUTADO_- SETEMBRO -_2018</vt:lpstr>
      <vt:lpstr>EXECUTADO_- OUTUBRO -_2018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Santos</dc:creator>
  <cp:lastModifiedBy>Cristina Santos</cp:lastModifiedBy>
  <cp:revision>9</cp:revision>
  <dcterms:created xsi:type="dcterms:W3CDTF">2017-08-07T12:58:20Z</dcterms:created>
  <dcterms:modified xsi:type="dcterms:W3CDTF">2018-11-12T12:54:42Z</dcterms:modified>
</cp:coreProperties>
</file>