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750" windowWidth="20730" windowHeight="11520" firstSheet="9" activeTab="9"/>
  </bookViews>
  <sheets>
    <sheet name="EXECUTADO_-_JUL_-_2017" sheetId="6" state="hidden" r:id="rId1"/>
    <sheet name="EXECUTADO_-_AGO_-_2017 " sheetId="7" state="hidden" r:id="rId2"/>
    <sheet name="EXECUTADO_-_SET_-_2017  " sheetId="8" state="hidden" r:id="rId3"/>
    <sheet name="EXECUTADO_-_OUT_-_2017" sheetId="9" state="hidden" r:id="rId4"/>
    <sheet name="EXECUTADO_-_NOV_-_2017 " sheetId="10" state="hidden" r:id="rId5"/>
    <sheet name="EXECUTADO_-_DEZ_-_2017" sheetId="11" state="hidden" r:id="rId6"/>
    <sheet name="EXECUTADO_-_JAN_-_2018" sheetId="12" state="hidden" r:id="rId7"/>
    <sheet name="EXECUTADO_-_MARÇO_-_2018" sheetId="13" state="hidden" r:id="rId8"/>
    <sheet name="EXECUTADO_-_ABRIL_-_2018" sheetId="14" state="hidden" r:id="rId9"/>
    <sheet name="EXECUTADO_-_MAIO_-_2018" sheetId="15" r:id="rId10"/>
  </sheets>
  <calcPr calcId="145621"/>
</workbook>
</file>

<file path=xl/calcChain.xml><?xml version="1.0" encoding="utf-8"?>
<calcChain xmlns="http://schemas.openxmlformats.org/spreadsheetml/2006/main">
  <c r="O15" i="14" l="1"/>
  <c r="N15" i="14"/>
  <c r="O14" i="14"/>
  <c r="N14" i="14"/>
  <c r="O13" i="14"/>
  <c r="N13" i="14"/>
  <c r="O12" i="14"/>
  <c r="P12" i="14" s="1"/>
  <c r="V12" i="14" s="1"/>
  <c r="W12" i="14" s="1"/>
  <c r="N12" i="14"/>
  <c r="U11" i="14"/>
  <c r="U12" i="14"/>
  <c r="U13" i="14"/>
  <c r="U14" i="14"/>
  <c r="U15" i="14"/>
  <c r="U16" i="14"/>
  <c r="U17" i="14"/>
  <c r="O11" i="14"/>
  <c r="N11" i="14"/>
  <c r="P11" i="14"/>
  <c r="V11" i="14" s="1"/>
  <c r="W11" i="14" s="1"/>
  <c r="P14" i="14"/>
  <c r="P16" i="14"/>
  <c r="P17" i="14"/>
  <c r="O10" i="14"/>
  <c r="N10" i="14"/>
  <c r="P10" i="14" s="1"/>
  <c r="U10" i="14"/>
  <c r="V17" i="14" l="1"/>
  <c r="W17" i="14" s="1"/>
  <c r="P13" i="14"/>
  <c r="V13" i="14" s="1"/>
  <c r="W13" i="14" s="1"/>
  <c r="P15" i="14"/>
  <c r="V16" i="14"/>
  <c r="W16" i="14" s="1"/>
  <c r="V15" i="14"/>
  <c r="W15" i="14" s="1"/>
  <c r="V14" i="14"/>
  <c r="W14" i="14" s="1"/>
  <c r="V10" i="14"/>
  <c r="W10" i="14" s="1"/>
  <c r="O14" i="13"/>
  <c r="N14" i="13"/>
  <c r="P14" i="13" s="1"/>
  <c r="O13" i="13"/>
  <c r="N13" i="13"/>
  <c r="O12" i="13"/>
  <c r="N12" i="13"/>
  <c r="O11" i="13"/>
  <c r="N11" i="13"/>
  <c r="O10" i="13"/>
  <c r="N10" i="13"/>
  <c r="P10" i="13" s="1"/>
  <c r="U14" i="13"/>
  <c r="U13" i="13"/>
  <c r="P13" i="13"/>
  <c r="V13" i="13" s="1"/>
  <c r="W13" i="13" s="1"/>
  <c r="U12" i="13"/>
  <c r="U11" i="13"/>
  <c r="P11" i="13"/>
  <c r="U10" i="13"/>
  <c r="V11" i="13" l="1"/>
  <c r="W11" i="13" s="1"/>
  <c r="P12" i="13"/>
  <c r="V12" i="13" s="1"/>
  <c r="W12" i="13" s="1"/>
  <c r="V14" i="13"/>
  <c r="W14" i="13" s="1"/>
  <c r="V10" i="13"/>
  <c r="W10" i="13" s="1"/>
  <c r="O13" i="12"/>
  <c r="N13" i="12"/>
  <c r="O12" i="12"/>
  <c r="N12" i="12"/>
  <c r="O11" i="12"/>
  <c r="N11" i="12"/>
  <c r="O10" i="12"/>
  <c r="N10" i="12"/>
  <c r="U29" i="12"/>
  <c r="P29" i="12"/>
  <c r="V29" i="12" s="1"/>
  <c r="W29" i="12" s="1"/>
  <c r="U28" i="12"/>
  <c r="P28" i="12"/>
  <c r="V28" i="12" s="1"/>
  <c r="W28" i="12" s="1"/>
  <c r="U27" i="12"/>
  <c r="P27" i="12"/>
  <c r="V27" i="12" s="1"/>
  <c r="W27" i="12" s="1"/>
  <c r="U26" i="12"/>
  <c r="P26" i="12"/>
  <c r="V26" i="12" s="1"/>
  <c r="W26" i="12" s="1"/>
  <c r="U25" i="12"/>
  <c r="P25" i="12"/>
  <c r="V25" i="12" s="1"/>
  <c r="W25" i="12" s="1"/>
  <c r="U24" i="12"/>
  <c r="P24" i="12"/>
  <c r="V24" i="12" s="1"/>
  <c r="W24" i="12" s="1"/>
  <c r="U23" i="12"/>
  <c r="P23" i="12"/>
  <c r="V23" i="12" s="1"/>
  <c r="W23" i="12" s="1"/>
  <c r="U22" i="12"/>
  <c r="P22" i="12"/>
  <c r="V22" i="12" s="1"/>
  <c r="W22" i="12" s="1"/>
  <c r="U21" i="12"/>
  <c r="P21" i="12"/>
  <c r="V21" i="12" s="1"/>
  <c r="W21" i="12" s="1"/>
  <c r="U20" i="12"/>
  <c r="P20" i="12"/>
  <c r="V20" i="12" s="1"/>
  <c r="W20" i="12" s="1"/>
  <c r="U19" i="12"/>
  <c r="P19" i="12"/>
  <c r="V19" i="12" s="1"/>
  <c r="W19" i="12" s="1"/>
  <c r="U18" i="12"/>
  <c r="P18" i="12"/>
  <c r="V18" i="12" s="1"/>
  <c r="W18" i="12" s="1"/>
  <c r="U17" i="12"/>
  <c r="P17" i="12"/>
  <c r="V17" i="12" s="1"/>
  <c r="W17" i="12" s="1"/>
  <c r="U16" i="12"/>
  <c r="P16" i="12"/>
  <c r="V16" i="12" s="1"/>
  <c r="W16" i="12" s="1"/>
  <c r="U15" i="12"/>
  <c r="P15" i="12"/>
  <c r="V15" i="12" s="1"/>
  <c r="W15" i="12" s="1"/>
  <c r="U14" i="12"/>
  <c r="P14" i="12"/>
  <c r="V14" i="12" s="1"/>
  <c r="W14" i="12" s="1"/>
  <c r="U13" i="12"/>
  <c r="P13" i="12"/>
  <c r="V13" i="12" s="1"/>
  <c r="W13" i="12" s="1"/>
  <c r="U12" i="12"/>
  <c r="P12" i="12"/>
  <c r="V12" i="12" s="1"/>
  <c r="W12" i="12" s="1"/>
  <c r="U11" i="12"/>
  <c r="P11" i="12"/>
  <c r="U10" i="12"/>
  <c r="P10" i="12"/>
  <c r="V10" i="12" s="1"/>
  <c r="W10" i="12" s="1"/>
  <c r="V11" i="12" l="1"/>
  <c r="W11" i="12" s="1"/>
  <c r="O14" i="11"/>
  <c r="N14" i="11"/>
  <c r="P14" i="11" s="1"/>
  <c r="O13" i="11"/>
  <c r="N13" i="11"/>
  <c r="O12" i="11"/>
  <c r="N12" i="11"/>
  <c r="P12" i="11"/>
  <c r="P13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O11" i="11"/>
  <c r="N11" i="11"/>
  <c r="P11" i="11" s="1"/>
  <c r="O10" i="11" l="1"/>
  <c r="N10" i="11"/>
  <c r="P10" i="11" s="1"/>
  <c r="U11" i="11"/>
  <c r="V11" i="11" s="1"/>
  <c r="W11" i="11" s="1"/>
  <c r="U12" i="11"/>
  <c r="V12" i="11" s="1"/>
  <c r="W12" i="11" s="1"/>
  <c r="U13" i="11"/>
  <c r="V13" i="11" s="1"/>
  <c r="W13" i="11" s="1"/>
  <c r="U14" i="11"/>
  <c r="V14" i="11" s="1"/>
  <c r="W14" i="11" s="1"/>
  <c r="U15" i="11"/>
  <c r="V15" i="11" s="1"/>
  <c r="W15" i="11" s="1"/>
  <c r="U16" i="11"/>
  <c r="V16" i="11" s="1"/>
  <c r="W16" i="11" s="1"/>
  <c r="U17" i="11"/>
  <c r="V17" i="11" s="1"/>
  <c r="W17" i="11" s="1"/>
  <c r="U18" i="11"/>
  <c r="V18" i="11"/>
  <c r="W18" i="11" s="1"/>
  <c r="U19" i="11"/>
  <c r="V19" i="11"/>
  <c r="W19" i="11" s="1"/>
  <c r="U20" i="11"/>
  <c r="V20" i="11" s="1"/>
  <c r="W20" i="11" s="1"/>
  <c r="U21" i="11"/>
  <c r="V21" i="11" s="1"/>
  <c r="W21" i="11" s="1"/>
  <c r="U22" i="11"/>
  <c r="V22" i="11" s="1"/>
  <c r="W22" i="11" s="1"/>
  <c r="U23" i="11"/>
  <c r="V23" i="11" s="1"/>
  <c r="W23" i="11" s="1"/>
  <c r="U24" i="11"/>
  <c r="V24" i="11" s="1"/>
  <c r="W24" i="11" s="1"/>
  <c r="U25" i="11"/>
  <c r="V25" i="11"/>
  <c r="W25" i="11" s="1"/>
  <c r="U26" i="11"/>
  <c r="V26" i="11" s="1"/>
  <c r="W26" i="11" s="1"/>
  <c r="U27" i="11"/>
  <c r="V27" i="11" s="1"/>
  <c r="W27" i="11" s="1"/>
  <c r="U28" i="11"/>
  <c r="V28" i="11" s="1"/>
  <c r="W28" i="11" s="1"/>
  <c r="U29" i="11"/>
  <c r="V29" i="11" s="1"/>
  <c r="W29" i="11" s="1"/>
  <c r="U10" i="11"/>
  <c r="V10" i="11" l="1"/>
  <c r="W10" i="11" s="1"/>
  <c r="P28" i="10"/>
  <c r="V28" i="10" s="1"/>
  <c r="W28" i="10" s="1"/>
  <c r="O30" i="10"/>
  <c r="N30" i="10"/>
  <c r="P30" i="10" s="1"/>
  <c r="O29" i="10"/>
  <c r="N29" i="10"/>
  <c r="P29" i="10" s="1"/>
  <c r="N27" i="10"/>
  <c r="N26" i="10"/>
  <c r="P26" i="10" s="1"/>
  <c r="N24" i="10"/>
  <c r="N23" i="10"/>
  <c r="P23" i="10" s="1"/>
  <c r="V23" i="10" s="1"/>
  <c r="W23" i="10" s="1"/>
  <c r="O22" i="10"/>
  <c r="N22" i="10"/>
  <c r="O21" i="10"/>
  <c r="N21" i="10"/>
  <c r="O20" i="10"/>
  <c r="N20" i="10"/>
  <c r="P20" i="10" s="1"/>
  <c r="O19" i="10"/>
  <c r="N19" i="10"/>
  <c r="O18" i="10"/>
  <c r="N18" i="10"/>
  <c r="O17" i="10"/>
  <c r="N17" i="10"/>
  <c r="P17" i="10" s="1"/>
  <c r="O16" i="10"/>
  <c r="N16" i="10"/>
  <c r="O15" i="10"/>
  <c r="N15" i="10"/>
  <c r="O14" i="10"/>
  <c r="N14" i="10"/>
  <c r="P14" i="10" s="1"/>
  <c r="O13" i="10"/>
  <c r="N13" i="10"/>
  <c r="P13" i="10" s="1"/>
  <c r="O12" i="10"/>
  <c r="N12" i="10"/>
  <c r="U11" i="10"/>
  <c r="U12" i="10"/>
  <c r="U13" i="10"/>
  <c r="U14" i="10"/>
  <c r="U15" i="10"/>
  <c r="U16" i="10"/>
  <c r="U17" i="10"/>
  <c r="U18" i="10"/>
  <c r="U19" i="10"/>
  <c r="U20" i="10"/>
  <c r="U21" i="10"/>
  <c r="U22" i="10"/>
  <c r="U23" i="10"/>
  <c r="U24" i="10"/>
  <c r="U25" i="10"/>
  <c r="U26" i="10"/>
  <c r="U27" i="10"/>
  <c r="U28" i="10"/>
  <c r="U29" i="10"/>
  <c r="U30" i="10"/>
  <c r="P15" i="10"/>
  <c r="V15" i="10" s="1"/>
  <c r="W15" i="10" s="1"/>
  <c r="P16" i="10"/>
  <c r="P19" i="10"/>
  <c r="P21" i="10"/>
  <c r="P22" i="10"/>
  <c r="V22" i="10" s="1"/>
  <c r="W22" i="10" s="1"/>
  <c r="P24" i="10"/>
  <c r="V24" i="10" s="1"/>
  <c r="W24" i="10" s="1"/>
  <c r="P25" i="10"/>
  <c r="P27" i="10"/>
  <c r="O11" i="10"/>
  <c r="N11" i="10"/>
  <c r="P11" i="10" s="1"/>
  <c r="O10" i="10"/>
  <c r="N10" i="10"/>
  <c r="P12" i="10" l="1"/>
  <c r="V12" i="10" s="1"/>
  <c r="W12" i="10" s="1"/>
  <c r="P18" i="10"/>
  <c r="V27" i="10"/>
  <c r="W27" i="10" s="1"/>
  <c r="V26" i="10"/>
  <c r="W26" i="10" s="1"/>
  <c r="V30" i="10"/>
  <c r="W30" i="10" s="1"/>
  <c r="V21" i="10"/>
  <c r="W21" i="10" s="1"/>
  <c r="V20" i="10"/>
  <c r="W20" i="10" s="1"/>
  <c r="V19" i="10"/>
  <c r="W19" i="10" s="1"/>
  <c r="V17" i="10"/>
  <c r="W17" i="10" s="1"/>
  <c r="V16" i="10"/>
  <c r="W16" i="10" s="1"/>
  <c r="V29" i="10"/>
  <c r="W29" i="10" s="1"/>
  <c r="V14" i="10"/>
  <c r="W14" i="10" s="1"/>
  <c r="V25" i="10"/>
  <c r="W25" i="10" s="1"/>
  <c r="V18" i="10"/>
  <c r="W18" i="10" s="1"/>
  <c r="V13" i="10"/>
  <c r="W13" i="10" s="1"/>
  <c r="V11" i="10"/>
  <c r="W11" i="10" s="1"/>
  <c r="U10" i="10"/>
  <c r="P10" i="10" l="1"/>
  <c r="V10" i="10" s="1"/>
  <c r="W10" i="10" s="1"/>
  <c r="O32" i="9"/>
  <c r="N32" i="9"/>
  <c r="O31" i="9"/>
  <c r="N31" i="9"/>
  <c r="O30" i="9"/>
  <c r="N30" i="9"/>
  <c r="O29" i="9"/>
  <c r="O28" i="9"/>
  <c r="N29" i="9"/>
  <c r="P29" i="9" s="1"/>
  <c r="N28" i="9"/>
  <c r="O27" i="9"/>
  <c r="N27" i="9"/>
  <c r="O26" i="9" l="1"/>
  <c r="N26" i="9"/>
  <c r="P26" i="9" s="1"/>
  <c r="O25" i="9"/>
  <c r="N25" i="9"/>
  <c r="P25" i="9"/>
  <c r="O24" i="9"/>
  <c r="N24" i="9"/>
  <c r="N23" i="9"/>
  <c r="O23" i="9"/>
  <c r="P23" i="9" s="1"/>
  <c r="V23" i="9" s="1"/>
  <c r="W23" i="9" s="1"/>
  <c r="P27" i="9"/>
  <c r="P31" i="9"/>
  <c r="U23" i="9"/>
  <c r="U24" i="9"/>
  <c r="U25" i="9"/>
  <c r="U26" i="9"/>
  <c r="U27" i="9"/>
  <c r="P28" i="9"/>
  <c r="U28" i="9"/>
  <c r="U29" i="9"/>
  <c r="P30" i="9"/>
  <c r="V30" i="9" s="1"/>
  <c r="W30" i="9" s="1"/>
  <c r="U30" i="9"/>
  <c r="U31" i="9"/>
  <c r="P32" i="9"/>
  <c r="U32" i="9"/>
  <c r="O22" i="9"/>
  <c r="N22" i="9"/>
  <c r="O21" i="9"/>
  <c r="N21" i="9"/>
  <c r="O20" i="9"/>
  <c r="N20" i="9"/>
  <c r="O19" i="9"/>
  <c r="N19" i="9"/>
  <c r="O18" i="9"/>
  <c r="N18" i="9"/>
  <c r="V31" i="9" l="1"/>
  <c r="W31" i="9" s="1"/>
  <c r="P24" i="9"/>
  <c r="V25" i="9"/>
  <c r="W25" i="9" s="1"/>
  <c r="V32" i="9"/>
  <c r="W32" i="9" s="1"/>
  <c r="V24" i="9"/>
  <c r="W24" i="9" s="1"/>
  <c r="V26" i="9"/>
  <c r="W26" i="9" s="1"/>
  <c r="V29" i="9"/>
  <c r="W29" i="9" s="1"/>
  <c r="V28" i="9"/>
  <c r="W28" i="9" s="1"/>
  <c r="V27" i="9"/>
  <c r="W27" i="9" s="1"/>
  <c r="O17" i="9"/>
  <c r="N17" i="9"/>
  <c r="O16" i="9"/>
  <c r="N16" i="9"/>
  <c r="P16" i="9" s="1"/>
  <c r="O15" i="9"/>
  <c r="P15" i="9" s="1"/>
  <c r="N15" i="9"/>
  <c r="O14" i="9"/>
  <c r="N14" i="9"/>
  <c r="O13" i="9"/>
  <c r="N13" i="9"/>
  <c r="O12" i="9"/>
  <c r="N12" i="9"/>
  <c r="O11" i="9"/>
  <c r="P11" i="9" s="1"/>
  <c r="N11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P12" i="9"/>
  <c r="P13" i="9"/>
  <c r="P17" i="9"/>
  <c r="P18" i="9"/>
  <c r="P19" i="9"/>
  <c r="P20" i="9"/>
  <c r="P21" i="9"/>
  <c r="P22" i="9"/>
  <c r="O10" i="9"/>
  <c r="N10" i="9"/>
  <c r="P14" i="9" l="1"/>
  <c r="P10" i="9"/>
  <c r="V10" i="9" s="1"/>
  <c r="W10" i="9" s="1"/>
  <c r="V19" i="9"/>
  <c r="W19" i="9" s="1"/>
  <c r="V11" i="9"/>
  <c r="W11" i="9" s="1"/>
  <c r="V22" i="9"/>
  <c r="W22" i="9" s="1"/>
  <c r="V21" i="9"/>
  <c r="W21" i="9" s="1"/>
  <c r="V20" i="9"/>
  <c r="W20" i="9" s="1"/>
  <c r="V18" i="9"/>
  <c r="W18" i="9" s="1"/>
  <c r="V17" i="9"/>
  <c r="W17" i="9" s="1"/>
  <c r="V16" i="9"/>
  <c r="W16" i="9" s="1"/>
  <c r="V15" i="9"/>
  <c r="W15" i="9" s="1"/>
  <c r="V14" i="9"/>
  <c r="W14" i="9" s="1"/>
  <c r="V13" i="9"/>
  <c r="W13" i="9" s="1"/>
  <c r="V12" i="9"/>
  <c r="W12" i="9" s="1"/>
  <c r="O26" i="8"/>
  <c r="P26" i="8" s="1"/>
  <c r="N26" i="8"/>
  <c r="O25" i="8"/>
  <c r="N25" i="8"/>
  <c r="N24" i="8"/>
  <c r="P24" i="8" s="1"/>
  <c r="O24" i="8"/>
  <c r="O23" i="8"/>
  <c r="N23" i="8"/>
  <c r="U21" i="8"/>
  <c r="U22" i="8"/>
  <c r="U23" i="8"/>
  <c r="U24" i="8"/>
  <c r="U25" i="8"/>
  <c r="U26" i="8"/>
  <c r="P23" i="8"/>
  <c r="O22" i="8"/>
  <c r="P22" i="8" s="1"/>
  <c r="V22" i="8" s="1"/>
  <c r="W22" i="8" s="1"/>
  <c r="N22" i="8"/>
  <c r="O21" i="8"/>
  <c r="N21" i="8"/>
  <c r="O20" i="8"/>
  <c r="N20" i="8"/>
  <c r="O19" i="8"/>
  <c r="N19" i="8"/>
  <c r="O18" i="8"/>
  <c r="N18" i="8"/>
  <c r="O17" i="8"/>
  <c r="N17" i="8"/>
  <c r="P17" i="8" s="1"/>
  <c r="O16" i="8"/>
  <c r="P16" i="8" s="1"/>
  <c r="N16" i="8"/>
  <c r="O15" i="8"/>
  <c r="N15" i="8"/>
  <c r="P15" i="8" s="1"/>
  <c r="O14" i="8"/>
  <c r="P14" i="8" s="1"/>
  <c r="N14" i="8"/>
  <c r="O13" i="8"/>
  <c r="N13" i="8"/>
  <c r="O12" i="8"/>
  <c r="N12" i="8"/>
  <c r="O11" i="8"/>
  <c r="N11" i="8"/>
  <c r="U10" i="8"/>
  <c r="U11" i="8"/>
  <c r="U12" i="8"/>
  <c r="U13" i="8"/>
  <c r="U14" i="8"/>
  <c r="U15" i="8"/>
  <c r="U16" i="8"/>
  <c r="U17" i="8"/>
  <c r="U18" i="8"/>
  <c r="U19" i="8"/>
  <c r="U20" i="8"/>
  <c r="P11" i="8"/>
  <c r="P12" i="8"/>
  <c r="P13" i="8"/>
  <c r="P19" i="8"/>
  <c r="P21" i="8"/>
  <c r="V21" i="8" s="1"/>
  <c r="W21" i="8" s="1"/>
  <c r="O10" i="8"/>
  <c r="P10" i="8" s="1"/>
  <c r="N10" i="8"/>
  <c r="V26" i="8" l="1"/>
  <c r="W26" i="8" s="1"/>
  <c r="V19" i="8"/>
  <c r="W19" i="8" s="1"/>
  <c r="V11" i="8"/>
  <c r="W11" i="8" s="1"/>
  <c r="P25" i="8"/>
  <c r="V25" i="8" s="1"/>
  <c r="W25" i="8" s="1"/>
  <c r="P18" i="8"/>
  <c r="V18" i="8" s="1"/>
  <c r="W18" i="8" s="1"/>
  <c r="P20" i="8"/>
  <c r="V20" i="8" s="1"/>
  <c r="W20" i="8" s="1"/>
  <c r="V24" i="8"/>
  <c r="W24" i="8" s="1"/>
  <c r="V23" i="8"/>
  <c r="W23" i="8" s="1"/>
  <c r="V17" i="8"/>
  <c r="W17" i="8" s="1"/>
  <c r="V16" i="8"/>
  <c r="W16" i="8" s="1"/>
  <c r="V15" i="8"/>
  <c r="W15" i="8" s="1"/>
  <c r="V14" i="8"/>
  <c r="W14" i="8" s="1"/>
  <c r="V13" i="8"/>
  <c r="W13" i="8" s="1"/>
  <c r="V12" i="8"/>
  <c r="W12" i="8" s="1"/>
  <c r="V10" i="8"/>
  <c r="W10" i="8" s="1"/>
  <c r="O22" i="7"/>
  <c r="N22" i="7"/>
  <c r="P22" i="7" s="1"/>
  <c r="V22" i="7" s="1"/>
  <c r="W22" i="7" s="1"/>
  <c r="O20" i="7"/>
  <c r="N20" i="7"/>
  <c r="P20" i="7" s="1"/>
  <c r="O19" i="7"/>
  <c r="N19" i="7"/>
  <c r="P19" i="7" s="1"/>
  <c r="O18" i="7"/>
  <c r="N18" i="7"/>
  <c r="O17" i="7"/>
  <c r="N17" i="7"/>
  <c r="O16" i="7"/>
  <c r="N16" i="7"/>
  <c r="P16" i="7" s="1"/>
  <c r="V16" i="7" s="1"/>
  <c r="W16" i="7" s="1"/>
  <c r="U16" i="7"/>
  <c r="U17" i="7"/>
  <c r="U18" i="7"/>
  <c r="U19" i="7"/>
  <c r="U20" i="7"/>
  <c r="U21" i="7"/>
  <c r="U22" i="7"/>
  <c r="P21" i="7"/>
  <c r="N15" i="7"/>
  <c r="O15" i="7"/>
  <c r="U15" i="7"/>
  <c r="O14" i="7"/>
  <c r="N14" i="7"/>
  <c r="O13" i="7"/>
  <c r="N13" i="7"/>
  <c r="O12" i="7"/>
  <c r="N12" i="7"/>
  <c r="U11" i="7"/>
  <c r="U10" i="7"/>
  <c r="U12" i="7"/>
  <c r="U13" i="7"/>
  <c r="U14" i="7"/>
  <c r="O11" i="7"/>
  <c r="N11" i="7"/>
  <c r="P11" i="7" s="1"/>
  <c r="O10" i="7"/>
  <c r="N10" i="7"/>
  <c r="V19" i="7" l="1"/>
  <c r="W19" i="7" s="1"/>
  <c r="P17" i="7"/>
  <c r="V17" i="7" s="1"/>
  <c r="W17" i="7" s="1"/>
  <c r="P18" i="7"/>
  <c r="V18" i="7" s="1"/>
  <c r="W18" i="7" s="1"/>
  <c r="V21" i="7"/>
  <c r="W21" i="7" s="1"/>
  <c r="V20" i="7"/>
  <c r="W20" i="7" s="1"/>
  <c r="P13" i="7"/>
  <c r="V13" i="7" s="1"/>
  <c r="W13" i="7" s="1"/>
  <c r="P15" i="7"/>
  <c r="V15" i="7" s="1"/>
  <c r="W15" i="7" s="1"/>
  <c r="P14" i="7"/>
  <c r="V14" i="7" s="1"/>
  <c r="W14" i="7" s="1"/>
  <c r="V11" i="7"/>
  <c r="W11" i="7" s="1"/>
  <c r="P12" i="7"/>
  <c r="V12" i="7" s="1"/>
  <c r="W12" i="7" s="1"/>
  <c r="P10" i="7"/>
  <c r="V10" i="7" l="1"/>
  <c r="W10" i="7" s="1"/>
  <c r="P11" i="6"/>
  <c r="O15" i="6"/>
  <c r="N15" i="6"/>
  <c r="P15" i="6" s="1"/>
  <c r="V15" i="6" s="1"/>
  <c r="W15" i="6" s="1"/>
  <c r="O14" i="6"/>
  <c r="P14" i="6" s="1"/>
  <c r="V14" i="6" s="1"/>
  <c r="W14" i="6" s="1"/>
  <c r="N14" i="6"/>
  <c r="O13" i="6"/>
  <c r="N13" i="6"/>
  <c r="P13" i="6" s="1"/>
  <c r="O12" i="6"/>
  <c r="P12" i="6" s="1"/>
  <c r="N12" i="6"/>
  <c r="U11" i="6"/>
  <c r="U12" i="6"/>
  <c r="U13" i="6"/>
  <c r="U14" i="6"/>
  <c r="U15" i="6"/>
  <c r="O11" i="6"/>
  <c r="N11" i="6"/>
  <c r="N10" i="6"/>
  <c r="O10" i="6"/>
  <c r="U10" i="6"/>
  <c r="V11" i="6" l="1"/>
  <c r="W11" i="6" s="1"/>
  <c r="P10" i="6"/>
  <c r="V10" i="6" s="1"/>
  <c r="W10" i="6" s="1"/>
  <c r="V13" i="6"/>
  <c r="W13" i="6" s="1"/>
  <c r="V12" i="6"/>
  <c r="W12" i="6" s="1"/>
</calcChain>
</file>

<file path=xl/sharedStrings.xml><?xml version="1.0" encoding="utf-8"?>
<sst xmlns="http://schemas.openxmlformats.org/spreadsheetml/2006/main" count="1468" uniqueCount="246">
  <si>
    <t>MÊS REFERÊNCIA:</t>
  </si>
  <si>
    <t>DIÁRIAS</t>
  </si>
  <si>
    <t>Quantidade</t>
  </si>
  <si>
    <t>EVENTO</t>
  </si>
  <si>
    <t>MATRIZ DE GERENCIAMENTO DE DIÁRIAS E PASSAGENS</t>
  </si>
  <si>
    <t>UNIDADE GESTORA</t>
  </si>
  <si>
    <t>SERVIDOR</t>
  </si>
  <si>
    <t>PASSAGENS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</si>
  <si>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</si>
  <si>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</si>
  <si>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</si>
  <si>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</si>
  <si>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</si>
  <si>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</si>
  <si>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</si>
  <si>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</si>
  <si>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</si>
  <si>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</si>
  <si>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</si>
  <si>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</si>
  <si>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</si>
  <si>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</si>
  <si>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</si>
  <si>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</si>
  <si>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</si>
  <si>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</si>
  <si>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</si>
  <si>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</si>
  <si>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</si>
  <si>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</si>
  <si>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Valor unitário</t>
  </si>
  <si>
    <t>NACIONAL</t>
  </si>
  <si>
    <t>PE</t>
  </si>
  <si>
    <t>RECIFE</t>
  </si>
  <si>
    <t>DTC</t>
  </si>
  <si>
    <t>GERE</t>
  </si>
  <si>
    <t>ADEMIR VIEIRA</t>
  </si>
  <si>
    <t>REUNIÃO SOBRE MATRIZ DE RISCO</t>
  </si>
  <si>
    <t>RJ</t>
  </si>
  <si>
    <t>RIO DE JANEIRO</t>
  </si>
  <si>
    <t>GILBERTO DE SOUZA SANTOS</t>
  </si>
  <si>
    <t>REUNIÃO NA MITSUI PADRONIZAÇÃO DE ESPECIFICAÇÕES TÉCNICAS DE MATERIAS &amp; EQUIPAMENTOS</t>
  </si>
  <si>
    <t>ALEXANDRE CARLOS DE CARVALHO LISBOA</t>
  </si>
  <si>
    <t>REUNIÃO DO GT DE CONTABILIDADE DA ABEGÁS E EUNIÃO DO PCPGÁS</t>
  </si>
  <si>
    <t>DAF</t>
  </si>
  <si>
    <t>GCON</t>
  </si>
  <si>
    <t>JAILSON JOSÉ GALVÃO</t>
  </si>
  <si>
    <t>REUNIÃO GASPETRO</t>
  </si>
  <si>
    <t>CARLOS EDUARDO CARNEIRO GUEDES ALCOFORADO</t>
  </si>
  <si>
    <t>PRE</t>
  </si>
  <si>
    <t>CJUR</t>
  </si>
  <si>
    <t>REUNIÃO THOMAS LUCHINI - PRESIDENTE GASPETRO</t>
  </si>
  <si>
    <t>COORDENADOR DE ENGENHARIA</t>
  </si>
  <si>
    <t>GESTOR DE PROJETOS</t>
  </si>
  <si>
    <t>GERENTE DE CONTABILIDADE E FISCAL</t>
  </si>
  <si>
    <t>DIRETOR TÉCNICO COMERCIAL</t>
  </si>
  <si>
    <t>COORDENADOR JURÍDICO</t>
  </si>
  <si>
    <t>000066</t>
  </si>
  <si>
    <t>EMANUELLE CRISTINE DA SILVA BARCELAR</t>
  </si>
  <si>
    <t>000242</t>
  </si>
  <si>
    <t>CPLA</t>
  </si>
  <si>
    <t>SP</t>
  </si>
  <si>
    <t>SÃO PAULO</t>
  </si>
  <si>
    <t>REALIZAÇÃO DE CURSO - PLANEJAMENTO FINANCEIRO E ORÇAMENTO</t>
  </si>
  <si>
    <t>RENATA DE ASSIS ALBUQUERQUE</t>
  </si>
  <si>
    <t>QSMS</t>
  </si>
  <si>
    <t>000195</t>
  </si>
  <si>
    <t>REALIZAÇÃO DE CURSO - ATMOSFERAS EXPLOSIVAS</t>
  </si>
  <si>
    <t>000232</t>
  </si>
  <si>
    <t>REALIZAÇÃO DE CURSO - CONTRATO DE CONCESSÃO</t>
  </si>
  <si>
    <t>CLAUDEMIR JOSE DA SILVA</t>
  </si>
  <si>
    <t>000303</t>
  </si>
  <si>
    <t>JAIME CERQUEIRA LIMA ISENSEE</t>
  </si>
  <si>
    <t>REUNIÃO</t>
  </si>
  <si>
    <t>-</t>
  </si>
  <si>
    <t>LUCIANO COUTO ROSA GUIMARAES</t>
  </si>
  <si>
    <t>GEORGE WASHINGTON PAULO FERREIRA</t>
  </si>
  <si>
    <t>GDIS</t>
  </si>
  <si>
    <t>000146</t>
  </si>
  <si>
    <t xml:space="preserve">EVENTO </t>
  </si>
  <si>
    <t>ROBERTO CARLOS MOREIRA FONTELLES</t>
  </si>
  <si>
    <t>000056</t>
  </si>
  <si>
    <t>REUNIÃO ANP</t>
  </si>
  <si>
    <t>REUNIÃO PETROBRAS</t>
  </si>
  <si>
    <t>ANALISTA FINANCEIRO</t>
  </si>
  <si>
    <t>TÉCNICO QSMS</t>
  </si>
  <si>
    <t>TÉCNICO OPERACIONAL QSMS</t>
  </si>
  <si>
    <t>ASSISTENTE DE DIRETORIA</t>
  </si>
  <si>
    <t>DIRETOR ADMINISTRATIVO FINANCEIRO</t>
  </si>
  <si>
    <t>COORDENADOR DE DISTRIBUIÇÃO</t>
  </si>
  <si>
    <t>DIRETOR PRESIDENTE</t>
  </si>
  <si>
    <t>GMAR</t>
  </si>
  <si>
    <t>RUBENING FERNANDO PEREIRA FELIPE</t>
  </si>
  <si>
    <t>000254</t>
  </si>
  <si>
    <t>CURSO ABGÁS</t>
  </si>
  <si>
    <t>ITALLO JOSE DOS SANTOS</t>
  </si>
  <si>
    <t>000073</t>
  </si>
  <si>
    <t>CURSO TRABALHOS EM ATMOSFERA EXPLOSIVA</t>
  </si>
  <si>
    <t>DANILO PAVEL SOARES  DO ESPIRITO SANTO</t>
  </si>
  <si>
    <t>000277</t>
  </si>
  <si>
    <t>REUNIÃO GT PADRONIZAÇÃO ESPECIFICAÇÕES TÉCNICAS DE MATERIAS E EQUIPAMENTOS</t>
  </si>
  <si>
    <t>FLORIANÓPOLIS</t>
  </si>
  <si>
    <t>SC</t>
  </si>
  <si>
    <t xml:space="preserve">PRE </t>
  </si>
  <si>
    <t>000000</t>
  </si>
  <si>
    <t>REUNIÃO CEGÁS</t>
  </si>
  <si>
    <t>CE</t>
  </si>
  <si>
    <t>FORTALEZA</t>
  </si>
  <si>
    <t>ELIZEU SERGIO DE AMORIM COELHO</t>
  </si>
  <si>
    <t>GCRC</t>
  </si>
  <si>
    <t>000182</t>
  </si>
  <si>
    <t>BA</t>
  </si>
  <si>
    <t>SALVADOR</t>
  </si>
  <si>
    <t>CURSO APERFEIÇOAMENTO EM TECNOLOGIA DE MANUTENÇÃO E CONVERSÃO DE AQUECEDORES DIGITAIS</t>
  </si>
  <si>
    <t>DERLIN ALVES MOREIRA NETO</t>
  </si>
  <si>
    <t>000150</t>
  </si>
  <si>
    <t>REUNIÃO CDL'S E CURSO ABGÁS</t>
  </si>
  <si>
    <t>REUNIÃO BAHIAGÁS</t>
  </si>
  <si>
    <t>FERNANDO PIMENTEL FILHO</t>
  </si>
  <si>
    <t>000067</t>
  </si>
  <si>
    <t>FORUM</t>
  </si>
  <si>
    <t xml:space="preserve">SP </t>
  </si>
  <si>
    <t>REUNIÃO NA LEITE, TOSTO  E BARROS ADVOGADOS</t>
  </si>
  <si>
    <t>MANOEL HENRIQUE DE ANDRADE LIMA</t>
  </si>
  <si>
    <t>000147</t>
  </si>
  <si>
    <t>CNNE</t>
  </si>
  <si>
    <t>TÉCNICO OPERACIONAL DE MEDIÇÃO E AUTOMOÇÃO</t>
  </si>
  <si>
    <t>TÉCNICO OPERACIONAL DE OPERAÇÕES</t>
  </si>
  <si>
    <t>ENGENHEIRO DE PROJETOS</t>
  </si>
  <si>
    <t>ENGENHEIRO DE SUPORTE TÉCNICO</t>
  </si>
  <si>
    <t>SUPERVISOR DE PROCESSOS E QUALIDADE</t>
  </si>
  <si>
    <t>ASSISTENTE DIRETOR</t>
  </si>
  <si>
    <t xml:space="preserve">COORDENADOR DE NOVOS NEGÓCIOS </t>
  </si>
  <si>
    <t xml:space="preserve">EVELLYN MARIA RAINHA PERDIGÃO </t>
  </si>
  <si>
    <t>RENAN ALEX ALBUQUERQUE BEZERRA</t>
  </si>
  <si>
    <t>ISABELA DA SILVA SANTANA</t>
  </si>
  <si>
    <t>HENRIQUE PAASHAUS ACIOLY DE DE MELO</t>
  </si>
  <si>
    <t>CLCO</t>
  </si>
  <si>
    <t>GFIN</t>
  </si>
  <si>
    <t>AL</t>
  </si>
  <si>
    <t>MACEIO</t>
  </si>
  <si>
    <t>ENCONTRO TÉCNICO FINANCEIRO 2017</t>
  </si>
  <si>
    <t>BENCHMARKING + ATIVO FIXO NA ALGÁS</t>
  </si>
  <si>
    <t>FÓRUM DE EDITAIS - PROMOVIDO PELA MITSUI</t>
  </si>
  <si>
    <t>MARCOS FILIPE PEIXOTO DE ARAUJO</t>
  </si>
  <si>
    <t>GADS</t>
  </si>
  <si>
    <t>ROMUALDO BARROS GUIMARAES</t>
  </si>
  <si>
    <t>RENATO JOSE PESSOA MENDES</t>
  </si>
  <si>
    <t>000280</t>
  </si>
  <si>
    <t>000202</t>
  </si>
  <si>
    <t>SUPERVISOR DE ORÇAMENTO</t>
  </si>
  <si>
    <t>000230</t>
  </si>
  <si>
    <t>GERENTE FINANCEIRO</t>
  </si>
  <si>
    <t>000296</t>
  </si>
  <si>
    <t>SUPERVISOR JÚRIDICO</t>
  </si>
  <si>
    <t>000293</t>
  </si>
  <si>
    <t>SUPERVISOR DE COMPRAS</t>
  </si>
  <si>
    <t>000047</t>
  </si>
  <si>
    <t>GERENTE DE ADMINISTRAÇÃO E SUPRIMENTOS</t>
  </si>
  <si>
    <t>000045</t>
  </si>
  <si>
    <t>COORDENADOR DE CONTRATAÇÃO E PLANEJAMENTO</t>
  </si>
  <si>
    <t>REUNIÃO MITSUI</t>
  </si>
  <si>
    <t>FÓRUM PLATTS DE ENERGIA DO BRASIL</t>
  </si>
  <si>
    <t>APRESENTAÇÃO DE TRABALHO (RIO PIPELINE)</t>
  </si>
  <si>
    <t>FÓRUM DE EQUALIZAÇÃO DE EDITAIS E LEIS 13303</t>
  </si>
  <si>
    <t>GETULIO ALVES DE MELO MENDONÇA JUNIOR</t>
  </si>
  <si>
    <t>REUNIÃO GT PADRONIZAÇÃO PPU/CPU</t>
  </si>
  <si>
    <t xml:space="preserve"> POSSE DO NOVO PRESIDENTE ANP</t>
  </si>
  <si>
    <t>RENATA BARBOSA DAMASIO</t>
  </si>
  <si>
    <t>ADAF</t>
  </si>
  <si>
    <t>APRESENTAÇÃO ORÇAMENTO MITSUI</t>
  </si>
  <si>
    <t xml:space="preserve">TÉCNICO OPERACIONAL </t>
  </si>
  <si>
    <t>000129</t>
  </si>
  <si>
    <t>000158</t>
  </si>
  <si>
    <t>GESTOR DE PLANEJAMENTO E CONTROLE E CONTRATO</t>
  </si>
  <si>
    <t>0000127</t>
  </si>
  <si>
    <t>ENGENHAIRA DE OPERAÇÕES</t>
  </si>
  <si>
    <t>CURSO POLITICA DE COBRANÇA E CONTROLE DE INADIMPLÊNCIA</t>
  </si>
  <si>
    <t>ALEXANDRA SOCORRO DE SOUSA NOGUEIRA CUNACIA</t>
  </si>
  <si>
    <t>000039</t>
  </si>
  <si>
    <t xml:space="preserve">MESA REDONDA DE ENERGIA DO BRASIL : GÁS E ENERGIA </t>
  </si>
  <si>
    <t>MACEIÓ</t>
  </si>
  <si>
    <t>REUNIÃO COM AS DISTRIBUIDORAS DE GÁS DO NE</t>
  </si>
  <si>
    <t>JOAO ALFREDO DE MORAIS GUERRA</t>
  </si>
  <si>
    <t>EVALDO PINTO VIEIRA DE MELLO</t>
  </si>
  <si>
    <t>MARCO ANTONIO ASSUMPCAO PINTO DE OLIVEIRA</t>
  </si>
  <si>
    <t>GCVI</t>
  </si>
  <si>
    <t>WORKSHOP GHP/ABS EVENTO PANASONIC</t>
  </si>
  <si>
    <t>000119</t>
  </si>
  <si>
    <t>000317</t>
  </si>
  <si>
    <t>000071</t>
  </si>
  <si>
    <t>HENRIQUE DE AGUIAR SA VILA NOVA JUNIOR</t>
  </si>
  <si>
    <t>FELIPE AUGUSTO MONTEIRO DE SOUZA</t>
  </si>
  <si>
    <t>GETI</t>
  </si>
  <si>
    <t>CURITIBA</t>
  </si>
  <si>
    <t>PR</t>
  </si>
  <si>
    <t>000284</t>
  </si>
  <si>
    <t>000228</t>
  </si>
  <si>
    <t>ENCONTRO DO COMITÊ GESTOR E DE DESENVOLVIMENTO GGÁS</t>
  </si>
  <si>
    <t>PARTICIPAÇÃO FORUM REGULATÓRIO OIL&amp;GAS</t>
  </si>
  <si>
    <t>REUNIÃO ADV ANDRÉ SERRÃO</t>
  </si>
  <si>
    <t>JONATHAS MESQUITA DE ALMEIDA</t>
  </si>
  <si>
    <t>SÃO LUÍS</t>
  </si>
  <si>
    <t>MA</t>
  </si>
  <si>
    <t>000063</t>
  </si>
  <si>
    <t>REUNIÃO GT CONTABILIDADE ABEGAS</t>
  </si>
  <si>
    <t>SUPERVISORA DE FATURAMENTO E COBRANÇA</t>
  </si>
  <si>
    <t>SUPERVISOR DO SEGMENTO RESIDENCIAL</t>
  </si>
  <si>
    <t>GERENTE DE COMERCIALIZAÇÃO VEICULAR E INDUSTRIAL</t>
  </si>
  <si>
    <t>GERENTE DE TECNOLOGIA DA INFORMAÇÃO</t>
  </si>
  <si>
    <t>ANALISTA DE SISTEMA</t>
  </si>
  <si>
    <t>SUPERVISOR FISCAL</t>
  </si>
  <si>
    <t>GERE - COORDENADORIA DE ENGENHARIA</t>
  </si>
  <si>
    <t>LUCAS GOMES COSTA</t>
  </si>
  <si>
    <t>CPLA - COORDENADORIA DE PLANEJ CORPORATIVO</t>
  </si>
  <si>
    <t>CJUR - COORDENADORIA JURIDICA</t>
  </si>
  <si>
    <t>CURSO PLANEJAMENTO FINANCEIRO E ORÇAMENTO EMPRESARIAL</t>
  </si>
  <si>
    <t>ASSEMBLEIA GERAL EXTRAORDINÁRIA ABEGÁS</t>
  </si>
  <si>
    <t>PARTICIPAÇÃO DO GT DE PADRONIZAÇÃO DE ESPECIFICAÇÕES TÉCNICAS DE MATERIAS E EQUIPAMENTOS</t>
  </si>
  <si>
    <t>PARTICIPAÇÃO PADRONIZAÇÃO PPU/CPU - 2° REUNIÃO</t>
  </si>
  <si>
    <t>0000320</t>
  </si>
  <si>
    <t>COORDENADOR DE PLANEJAMENTO CORPORATIVO</t>
  </si>
  <si>
    <t>VISITA ALGAS</t>
  </si>
  <si>
    <t>JOSE WALDIR FERRARI</t>
  </si>
  <si>
    <t>WORKSHOP SUPRIMENTO DE GAS</t>
  </si>
  <si>
    <t>GCON - GERENCIA CONTABIL E FISCAL</t>
  </si>
  <si>
    <t>REUNIÃO DO GRUPO DE TRABALHO DE CONTABILIDADE DA ABEGÁS</t>
  </si>
  <si>
    <t>QSMS - QUALIDADE, SEGURANÇA, MEIO AMB. E SAUD</t>
  </si>
  <si>
    <t>REUNIÃO ABEGÁS</t>
  </si>
  <si>
    <t>PRE - PRESIDENCIA</t>
  </si>
  <si>
    <t>ASSEMBLEIA ABEGÁS</t>
  </si>
  <si>
    <t>DAF - DIRETOR ADMINISTRATIVO FINANCEIRO</t>
  </si>
  <si>
    <t>PRE - PRESIDÊNCIA</t>
  </si>
  <si>
    <t>DTC - DIRETORIA TÉCNICO - COMERCIAL</t>
  </si>
  <si>
    <t>GCRC - GERENCIA DE COMERC. RESID/COMERCIAL</t>
  </si>
  <si>
    <t>EVENTO PROMOVIDO PELA BAHIAGÁS COM FOCO NO SEGMENTO RESIDÊNCIAL</t>
  </si>
  <si>
    <t>ANDERSON FRANCISCO DE LIMA ANDRADE</t>
  </si>
  <si>
    <t>VALOR DA DIARIA PARCIAL E REFERENTE AO REEMBOLSO QUE O COLABORADOR TEVE  DIREITO NA HORA DA PRESTAÇÃO DE CONTA</t>
  </si>
  <si>
    <t>GFIN - GERENCIA FINANCEIRA</t>
  </si>
  <si>
    <t>CNNE - COORDENADORIA DE NOVOS NEGOCIOS</t>
  </si>
  <si>
    <t>COMITE DE INOVAÇÃO ABEGÁS</t>
  </si>
  <si>
    <t xml:space="preserve">REUNIÃO NA BAHIAGÁS COM COPERGÁS E POTIGÁS </t>
  </si>
  <si>
    <t>REUNIÃO NO ESCRITÓRIO DE ADVOCACIA VEIRANO TRATAR  SOBRE PROCESSO GDK</t>
  </si>
  <si>
    <t>000082</t>
  </si>
  <si>
    <t>GERENTE DE COMERCIALIZAÇÃO RESIDENCIAL E COMERCIAL</t>
  </si>
  <si>
    <r>
      <rPr>
        <sz val="13"/>
        <color rgb="FFFF0000"/>
        <rFont val="Calibri"/>
        <family val="2"/>
      </rPr>
      <t>não ocorreram viagens no mês de Maio/2018</t>
    </r>
    <r>
      <rPr>
        <sz val="13"/>
        <color rgb="FF1F497D"/>
        <rFont val="Calibri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</si>
</sst>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R$]#,##0.00"/>
    <numFmt numFmtId="165" formatCode="mmm/yyyy"/>
    <numFmt numFmtId="166" formatCode="[$R$-416]&quot; &quot;#,##0.00;[Red]&quot;-&quot;[$R$-416]&quot; &quot;#,##0.00"/>
    <numFmt numFmtId="167" formatCode="[$R$-416]\ #,##0.00"/>
  </numFmts>
  <fonts count="16" x14ac:knownFonts="1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8"/>
      <color rgb="FF000000"/>
      <name val="Arial"/>
      <family val="2"/>
    </font>
    <font>
      <sz val="11"/>
      <color rgb="FF000000"/>
      <name val="Cambria"/>
      <family val="1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sz val="36"/>
      <color rgb="FF000000"/>
      <name val="Cambria"/>
      <family val="1"/>
    </font>
    <font>
      <sz val="10"/>
      <color rgb="FF000000"/>
      <name val="Calibri"/>
      <family val="2"/>
    </font>
    <font>
      <sz val="10"/>
      <color rgb="FF000000"/>
      <name val="Cambria"/>
      <family val="1"/>
    </font>
    <font>
      <sz val="10"/>
      <color rgb="FF000000"/>
      <name val="Arial"/>
      <family val="2"/>
    </font>
    <font>
      <sz val="11"/>
      <color rgb="FF1F497D"/>
      <name val="Calibri"/>
      <family val="2"/>
    </font>
    <font>
      <sz val="13"/>
      <color rgb="FFFF0000"/>
      <name val="Calibri"/>
      <family val="2"/>
    </font>
    <font>
      <sz val="13"/>
      <color rgb="FF1F497D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B7E1CD"/>
        <bgColor rgb="FFB7E1CD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DDDDDD"/>
        <bgColor rgb="FFDDDDDD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2" fillId="2" borderId="0" applyNumberFormat="0" applyFont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6" fontId="4" fillId="0" borderId="0" applyBorder="0" applyProtection="0"/>
    <xf numFmtId="0" fontId="1" fillId="0" borderId="0"/>
  </cellStyleXfs>
  <cellXfs count="44">
    <xf numFmtId="0" fontId="0" fillId="0" borderId="0" xfId="0"/>
    <xf numFmtId="0" fontId="0" fillId="3" borderId="0" xfId="0" applyFill="1" applyAlignment="1"/>
    <xf numFmtId="0" fontId="10" fillId="3" borderId="0" xfId="0" applyFont="1" applyFill="1" applyAlignment="1"/>
    <xf numFmtId="0" fontId="11" fillId="3" borderId="0" xfId="0" applyFont="1" applyFill="1"/>
    <xf numFmtId="0" fontId="11" fillId="0" borderId="0" xfId="0" applyFont="1"/>
    <xf numFmtId="0" fontId="8" fillId="3" borderId="0" xfId="0" applyFont="1" applyFill="1" applyAlignment="1"/>
    <xf numFmtId="0" fontId="6" fillId="3" borderId="0" xfId="0" applyFont="1" applyFill="1"/>
    <xf numFmtId="0" fontId="9" fillId="3" borderId="0" xfId="0" applyFont="1" applyFill="1" applyAlignment="1"/>
    <xf numFmtId="165" fontId="5" fillId="0" borderId="1" xfId="0" applyNumberFormat="1" applyFont="1" applyBorder="1" applyAlignment="1">
      <alignment horizontal="right"/>
    </xf>
    <xf numFmtId="0" fontId="0" fillId="5" borderId="0" xfId="0" applyFill="1"/>
    <xf numFmtId="0" fontId="7" fillId="5" borderId="0" xfId="0" applyFont="1" applyFill="1" applyAlignment="1">
      <alignment horizontal="center"/>
    </xf>
    <xf numFmtId="164" fontId="7" fillId="5" borderId="0" xfId="0" applyNumberFormat="1" applyFont="1" applyFill="1" applyAlignment="1">
      <alignment horizontal="center"/>
    </xf>
    <xf numFmtId="0" fontId="12" fillId="3" borderId="1" xfId="0" applyFont="1" applyFill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12" fillId="3" borderId="1" xfId="0" applyFont="1" applyFill="1" applyBorder="1" applyAlignment="1">
      <alignment horizontal="center" vertical="top" wrapText="1"/>
    </xf>
    <xf numFmtId="164" fontId="12" fillId="3" borderId="1" xfId="0" applyNumberFormat="1" applyFont="1" applyFill="1" applyBorder="1" applyAlignment="1">
      <alignment horizontal="center" vertical="top"/>
    </xf>
    <xf numFmtId="14" fontId="12" fillId="3" borderId="1" xfId="0" applyNumberFormat="1" applyFont="1" applyFill="1" applyBorder="1" applyAlignment="1">
      <alignment horizontal="center" vertical="top"/>
    </xf>
    <xf numFmtId="14" fontId="12" fillId="3" borderId="2" xfId="0" applyNumberFormat="1" applyFont="1" applyFill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64" fontId="12" fillId="3" borderId="1" xfId="0" applyNumberFormat="1" applyFont="1" applyFill="1" applyBorder="1" applyAlignment="1">
      <alignment horizontal="center" vertical="center"/>
    </xf>
    <xf numFmtId="14" fontId="12" fillId="3" borderId="1" xfId="0" applyNumberFormat="1" applyFont="1" applyFill="1" applyBorder="1" applyAlignment="1">
      <alignment horizontal="center" vertical="center"/>
    </xf>
    <xf numFmtId="167" fontId="12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49" fontId="12" fillId="3" borderId="1" xfId="0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top"/>
    </xf>
    <xf numFmtId="49" fontId="12" fillId="6" borderId="1" xfId="0" applyNumberFormat="1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164" fontId="12" fillId="6" borderId="1" xfId="0" applyNumberFormat="1" applyFont="1" applyFill="1" applyBorder="1" applyAlignment="1">
      <alignment horizontal="center" vertical="center"/>
    </xf>
    <xf numFmtId="167" fontId="12" fillId="6" borderId="1" xfId="0" applyNumberFormat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top"/>
    </xf>
    <xf numFmtId="0" fontId="12" fillId="6" borderId="1" xfId="0" applyFont="1" applyFill="1" applyBorder="1" applyAlignment="1">
      <alignment horizontal="center" vertical="center" wrapText="1"/>
    </xf>
    <xf numFmtId="14" fontId="12" fillId="6" borderId="1" xfId="0" applyNumberFormat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top" wrapText="1"/>
    </xf>
    <xf numFmtId="164" fontId="7" fillId="5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5" fillId="0" borderId="1" xfId="0" applyFont="1" applyFill="1" applyBorder="1" applyAlignment="1"/>
    <xf numFmtId="0" fontId="7" fillId="4" borderId="1" xfId="0" applyFont="1" applyFill="1" applyBorder="1" applyAlignment="1">
      <alignment horizont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</cellXfs>
  <cellStyles count="7">
    <cellStyle name="ConditionalStyle_1" xfId="1"/>
    <cellStyle name="Heading" xfId="2"/>
    <cellStyle name="Heading1" xfId="3"/>
    <cellStyle name="Normal" xfId="0" builtinId="0" customBuiltin="1"/>
    <cellStyle name="Normal 2" xfId="6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topLeftCell="A2" workbookViewId="0">
      <selection activeCell="E14" sqref="E14"/>
    </sheetView>
  </sheetViews>
  <sheetFormatPr defaultRowHeight="15" customHeight="1" x14ac:dyDescent="0.2"/>
  <cols>
    <col min="1" max="1" width="8.625" customWidth="1"/>
    <col min="2" max="2" width="10.75" customWidth="1"/>
    <col min="3" max="3" width="44" customWidth="1"/>
    <col min="4" max="4" width="12" customWidth="1"/>
    <col min="5" max="5" width="17.5" customWidth="1"/>
    <col min="6" max="6" width="35.125" customWidth="1"/>
    <col min="7" max="7" width="11.25" customWidth="1"/>
    <col min="8" max="8" width="4.75" customWidth="1"/>
    <col min="9" max="9" width="16.5" customWidth="1"/>
    <col min="10" max="10" width="4" customWidth="1"/>
    <col min="11" max="11" width="16.75" customWidth="1"/>
    <col min="12" max="12" width="12.125" customWidth="1"/>
    <col min="13" max="13" width="12.25" customWidth="1"/>
    <col min="14" max="14" width="14" customWidth="1"/>
    <col min="15" max="15" width="14.25" customWidth="1"/>
    <col min="16" max="1024" width="18" customWidth="1"/>
    <col min="1025" max="1025" width="9" customWidth="1"/>
  </cols>
  <sheetData>
    <row r="1" spans="1:24" ht="14.2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4.2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3.2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40" t="s">
        <v>0</v>
      </c>
      <c r="W5" s="40"/>
      <c r="X5" s="8">
        <v>42917</v>
      </c>
    </row>
    <row r="6" spans="1:24" x14ac:dyDescent="0.25">
      <c r="A6" s="41" t="s">
        <v>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</row>
    <row r="7" spans="1:24" x14ac:dyDescent="0.25">
      <c r="A7" s="41" t="s">
        <v>5</v>
      </c>
      <c r="B7" s="41"/>
      <c r="C7" s="41" t="s">
        <v>6</v>
      </c>
      <c r="D7" s="41"/>
      <c r="E7" s="41"/>
      <c r="F7" s="41" t="s">
        <v>3</v>
      </c>
      <c r="G7" s="41"/>
      <c r="H7" s="41"/>
      <c r="I7" s="41"/>
      <c r="J7" s="41"/>
      <c r="K7" s="41"/>
      <c r="L7" s="41"/>
      <c r="M7" s="41"/>
      <c r="N7" s="41" t="s">
        <v>7</v>
      </c>
      <c r="O7" s="41"/>
      <c r="P7" s="41"/>
      <c r="Q7" s="41" t="s">
        <v>1</v>
      </c>
      <c r="R7" s="41"/>
      <c r="S7" s="41"/>
      <c r="T7" s="41"/>
      <c r="U7" s="41"/>
      <c r="V7" s="41"/>
      <c r="W7" s="41" t="s">
        <v>8</v>
      </c>
      <c r="X7" s="41" t="s">
        <v>9</v>
      </c>
    </row>
    <row r="8" spans="1:24" s="9" customFormat="1" x14ac:dyDescent="0.25">
      <c r="A8" s="39" t="s">
        <v>10</v>
      </c>
      <c r="B8" s="39" t="s">
        <v>11</v>
      </c>
      <c r="C8" s="39" t="s">
        <v>12</v>
      </c>
      <c r="D8" s="39" t="s">
        <v>13</v>
      </c>
      <c r="E8" s="39" t="s">
        <v>14</v>
      </c>
      <c r="F8" s="39" t="s">
        <v>15</v>
      </c>
      <c r="G8" s="39" t="s">
        <v>16</v>
      </c>
      <c r="H8" s="39" t="s">
        <v>17</v>
      </c>
      <c r="I8" s="39"/>
      <c r="J8" s="38" t="s">
        <v>18</v>
      </c>
      <c r="K8" s="38"/>
      <c r="L8" s="39" t="s">
        <v>19</v>
      </c>
      <c r="M8" s="39" t="s">
        <v>20</v>
      </c>
      <c r="N8" s="38" t="s">
        <v>21</v>
      </c>
      <c r="O8" s="38" t="s">
        <v>22</v>
      </c>
      <c r="P8" s="38" t="s">
        <v>23</v>
      </c>
      <c r="Q8" s="38" t="s">
        <v>24</v>
      </c>
      <c r="R8" s="38"/>
      <c r="S8" s="38" t="s">
        <v>25</v>
      </c>
      <c r="T8" s="38"/>
      <c r="U8" s="39" t="s">
        <v>26</v>
      </c>
      <c r="V8" s="38" t="s">
        <v>23</v>
      </c>
      <c r="W8" s="41"/>
      <c r="X8" s="41"/>
    </row>
    <row r="9" spans="1:24" s="9" customFormat="1" x14ac:dyDescent="0.25">
      <c r="A9" s="39"/>
      <c r="B9" s="39"/>
      <c r="C9" s="39"/>
      <c r="D9" s="39"/>
      <c r="E9" s="39"/>
      <c r="F9" s="39"/>
      <c r="G9" s="39"/>
      <c r="H9" s="10" t="s">
        <v>27</v>
      </c>
      <c r="I9" s="10" t="s">
        <v>28</v>
      </c>
      <c r="J9" s="10" t="s">
        <v>27</v>
      </c>
      <c r="K9" s="11" t="s">
        <v>29</v>
      </c>
      <c r="L9" s="39"/>
      <c r="M9" s="39"/>
      <c r="N9" s="38"/>
      <c r="O9" s="38"/>
      <c r="P9" s="38"/>
      <c r="Q9" s="10" t="s">
        <v>2</v>
      </c>
      <c r="R9" s="11" t="s">
        <v>30</v>
      </c>
      <c r="S9" s="10" t="s">
        <v>2</v>
      </c>
      <c r="T9" s="11" t="s">
        <v>30</v>
      </c>
      <c r="U9" s="39"/>
      <c r="V9" s="38"/>
      <c r="W9" s="41"/>
      <c r="X9" s="41"/>
    </row>
    <row r="10" spans="1:24" ht="25.5" x14ac:dyDescent="0.2">
      <c r="A10" s="19" t="s">
        <v>34</v>
      </c>
      <c r="B10" s="19" t="s">
        <v>35</v>
      </c>
      <c r="C10" s="19" t="s">
        <v>36</v>
      </c>
      <c r="D10" s="19">
        <v>66</v>
      </c>
      <c r="E10" s="20" t="s">
        <v>52</v>
      </c>
      <c r="F10" s="20" t="s">
        <v>37</v>
      </c>
      <c r="G10" s="21" t="s">
        <v>31</v>
      </c>
      <c r="H10" s="19" t="s">
        <v>32</v>
      </c>
      <c r="I10" s="19" t="s">
        <v>33</v>
      </c>
      <c r="J10" s="19" t="s">
        <v>38</v>
      </c>
      <c r="K10" s="22" t="s">
        <v>39</v>
      </c>
      <c r="L10" s="23">
        <v>42926</v>
      </c>
      <c r="M10" s="23">
        <v>42928</v>
      </c>
      <c r="N10" s="22">
        <f>639.67/2</f>
        <v>319.83499999999998</v>
      </c>
      <c r="O10" s="22">
        <f>639.67/2</f>
        <v>319.83499999999998</v>
      </c>
      <c r="P10" s="22">
        <f>N10+O10</f>
        <v>639.66999999999996</v>
      </c>
      <c r="Q10" s="19">
        <v>3</v>
      </c>
      <c r="R10" s="22">
        <v>120</v>
      </c>
      <c r="S10" s="19"/>
      <c r="T10" s="22"/>
      <c r="U10" s="24">
        <f>(Q10*R10)+(S10*T10)</f>
        <v>360</v>
      </c>
      <c r="V10" s="22">
        <f>P10+U10</f>
        <v>999.67</v>
      </c>
      <c r="W10" s="22">
        <f>V10</f>
        <v>999.67</v>
      </c>
      <c r="X10" s="12"/>
    </row>
    <row r="11" spans="1:24" ht="38.25" x14ac:dyDescent="0.2">
      <c r="A11" s="12" t="s">
        <v>34</v>
      </c>
      <c r="B11" s="12" t="s">
        <v>35</v>
      </c>
      <c r="C11" s="12" t="s">
        <v>40</v>
      </c>
      <c r="D11" s="19">
        <v>129</v>
      </c>
      <c r="E11" s="14" t="s">
        <v>53</v>
      </c>
      <c r="F11" s="14" t="s">
        <v>41</v>
      </c>
      <c r="G11" s="21" t="s">
        <v>31</v>
      </c>
      <c r="H11" s="19" t="s">
        <v>32</v>
      </c>
      <c r="I11" s="12" t="s">
        <v>33</v>
      </c>
      <c r="J11" s="19" t="s">
        <v>38</v>
      </c>
      <c r="K11" s="22" t="s">
        <v>39</v>
      </c>
      <c r="L11" s="16">
        <v>42940</v>
      </c>
      <c r="M11" s="16">
        <v>42942</v>
      </c>
      <c r="N11" s="22">
        <f>676.03/2</f>
        <v>338.01499999999999</v>
      </c>
      <c r="O11" s="22">
        <f>676.03/2</f>
        <v>338.01499999999999</v>
      </c>
      <c r="P11" s="22">
        <f>N11+O11</f>
        <v>676.03</v>
      </c>
      <c r="Q11" s="12">
        <v>3</v>
      </c>
      <c r="R11" s="15">
        <v>120</v>
      </c>
      <c r="S11" s="12"/>
      <c r="T11" s="15"/>
      <c r="U11" s="24">
        <f t="shared" ref="U11:U15" si="0">(Q11*R11)+(S11*T11)</f>
        <v>360</v>
      </c>
      <c r="V11" s="22">
        <f t="shared" ref="V11:V15" si="1">P11+U11</f>
        <v>1036.03</v>
      </c>
      <c r="W11" s="22">
        <f t="shared" ref="W11:W15" si="2">V11</f>
        <v>1036.03</v>
      </c>
      <c r="X11" s="12"/>
    </row>
    <row r="12" spans="1:24" ht="38.25" x14ac:dyDescent="0.2">
      <c r="A12" s="12" t="s">
        <v>44</v>
      </c>
      <c r="B12" s="12" t="s">
        <v>45</v>
      </c>
      <c r="C12" s="14" t="s">
        <v>42</v>
      </c>
      <c r="D12" s="19">
        <v>232</v>
      </c>
      <c r="E12" s="14" t="s">
        <v>54</v>
      </c>
      <c r="F12" s="25" t="s">
        <v>43</v>
      </c>
      <c r="G12" s="21" t="s">
        <v>31</v>
      </c>
      <c r="H12" s="19" t="s">
        <v>32</v>
      </c>
      <c r="I12" s="12" t="s">
        <v>33</v>
      </c>
      <c r="J12" s="19" t="s">
        <v>38</v>
      </c>
      <c r="K12" s="22" t="s">
        <v>39</v>
      </c>
      <c r="L12" s="16">
        <v>42935</v>
      </c>
      <c r="M12" s="16">
        <v>42937</v>
      </c>
      <c r="N12" s="22">
        <f>650.64/2</f>
        <v>325.32</v>
      </c>
      <c r="O12" s="22">
        <f>650.64/2</f>
        <v>325.32</v>
      </c>
      <c r="P12" s="22">
        <f t="shared" ref="P12:P15" si="3">N12+O12</f>
        <v>650.64</v>
      </c>
      <c r="Q12" s="12">
        <v>7</v>
      </c>
      <c r="R12" s="15">
        <v>120</v>
      </c>
      <c r="S12" s="12"/>
      <c r="T12" s="15"/>
      <c r="U12" s="24">
        <f t="shared" si="0"/>
        <v>840</v>
      </c>
      <c r="V12" s="22">
        <f t="shared" si="1"/>
        <v>1490.6399999999999</v>
      </c>
      <c r="W12" s="22">
        <f t="shared" si="2"/>
        <v>1490.6399999999999</v>
      </c>
      <c r="X12" s="12"/>
    </row>
    <row r="13" spans="1:24" ht="25.5" x14ac:dyDescent="0.2">
      <c r="A13" s="12" t="s">
        <v>34</v>
      </c>
      <c r="B13" s="12" t="s">
        <v>34</v>
      </c>
      <c r="C13" s="12" t="s">
        <v>46</v>
      </c>
      <c r="D13" s="12"/>
      <c r="E13" s="14" t="s">
        <v>55</v>
      </c>
      <c r="F13" s="14" t="s">
        <v>47</v>
      </c>
      <c r="G13" s="21" t="s">
        <v>31</v>
      </c>
      <c r="H13" s="19" t="s">
        <v>32</v>
      </c>
      <c r="I13" s="12" t="s">
        <v>33</v>
      </c>
      <c r="J13" s="19" t="s">
        <v>38</v>
      </c>
      <c r="K13" s="22" t="s">
        <v>39</v>
      </c>
      <c r="L13" s="17">
        <v>42936</v>
      </c>
      <c r="M13" s="17">
        <v>42937</v>
      </c>
      <c r="N13" s="22">
        <f>713.1/2</f>
        <v>356.55</v>
      </c>
      <c r="O13" s="22">
        <f>713.1/2</f>
        <v>356.55</v>
      </c>
      <c r="P13" s="22">
        <f t="shared" si="3"/>
        <v>713.1</v>
      </c>
      <c r="Q13" s="18"/>
      <c r="R13" s="18"/>
      <c r="S13" s="18"/>
      <c r="T13" s="15"/>
      <c r="U13" s="24">
        <f t="shared" si="0"/>
        <v>0</v>
      </c>
      <c r="V13" s="22">
        <f t="shared" si="1"/>
        <v>713.1</v>
      </c>
      <c r="W13" s="22">
        <f t="shared" si="2"/>
        <v>713.1</v>
      </c>
      <c r="X13" s="18"/>
    </row>
    <row r="14" spans="1:24" ht="25.5" x14ac:dyDescent="0.2">
      <c r="A14" s="12" t="s">
        <v>49</v>
      </c>
      <c r="B14" s="12" t="s">
        <v>50</v>
      </c>
      <c r="C14" s="12" t="s">
        <v>48</v>
      </c>
      <c r="D14" s="12">
        <v>56</v>
      </c>
      <c r="E14" s="14" t="s">
        <v>56</v>
      </c>
      <c r="F14" s="14" t="s">
        <v>47</v>
      </c>
      <c r="G14" s="21" t="s">
        <v>31</v>
      </c>
      <c r="H14" s="19" t="s">
        <v>32</v>
      </c>
      <c r="I14" s="12" t="s">
        <v>33</v>
      </c>
      <c r="J14" s="19" t="s">
        <v>38</v>
      </c>
      <c r="K14" s="22" t="s">
        <v>39</v>
      </c>
      <c r="L14" s="16">
        <v>42936</v>
      </c>
      <c r="M14" s="16">
        <v>42937</v>
      </c>
      <c r="N14" s="22">
        <f>877.49/2</f>
        <v>438.745</v>
      </c>
      <c r="O14" s="22">
        <f>877.49/2</f>
        <v>438.745</v>
      </c>
      <c r="P14" s="22">
        <f t="shared" si="3"/>
        <v>877.49</v>
      </c>
      <c r="Q14" s="13">
        <v>4</v>
      </c>
      <c r="R14" s="15">
        <v>120</v>
      </c>
      <c r="S14" s="18"/>
      <c r="T14" s="15"/>
      <c r="U14" s="24">
        <f t="shared" si="0"/>
        <v>480</v>
      </c>
      <c r="V14" s="22">
        <f t="shared" si="1"/>
        <v>1357.49</v>
      </c>
      <c r="W14" s="22">
        <f t="shared" si="2"/>
        <v>1357.49</v>
      </c>
      <c r="X14" s="18"/>
    </row>
    <row r="15" spans="1:24" ht="25.5" x14ac:dyDescent="0.2">
      <c r="A15" s="12" t="s">
        <v>34</v>
      </c>
      <c r="B15" s="12" t="s">
        <v>34</v>
      </c>
      <c r="C15" s="12" t="s">
        <v>46</v>
      </c>
      <c r="D15" s="12"/>
      <c r="E15" s="14" t="s">
        <v>55</v>
      </c>
      <c r="F15" s="14" t="s">
        <v>51</v>
      </c>
      <c r="G15" s="21" t="s">
        <v>31</v>
      </c>
      <c r="H15" s="19" t="s">
        <v>32</v>
      </c>
      <c r="I15" s="12" t="s">
        <v>33</v>
      </c>
      <c r="J15" s="19" t="s">
        <v>38</v>
      </c>
      <c r="K15" s="22" t="s">
        <v>39</v>
      </c>
      <c r="L15" s="16">
        <v>42942</v>
      </c>
      <c r="M15" s="16">
        <v>42943</v>
      </c>
      <c r="N15" s="22">
        <f>1084.29/2</f>
        <v>542.14499999999998</v>
      </c>
      <c r="O15" s="22">
        <f>1084.29/2</f>
        <v>542.14499999999998</v>
      </c>
      <c r="P15" s="22">
        <f t="shared" si="3"/>
        <v>1084.29</v>
      </c>
      <c r="Q15" s="13"/>
      <c r="R15" s="15"/>
      <c r="S15" s="18"/>
      <c r="T15" s="15"/>
      <c r="U15" s="24">
        <f t="shared" si="0"/>
        <v>0</v>
      </c>
      <c r="V15" s="22">
        <f t="shared" si="1"/>
        <v>1084.29</v>
      </c>
      <c r="W15" s="22">
        <f t="shared" si="2"/>
        <v>1084.29</v>
      </c>
      <c r="X15" s="18"/>
    </row>
    <row r="16" spans="1:24" ht="14.25" x14ac:dyDescent="0.2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4"/>
      <c r="R16" s="4"/>
      <c r="S16" s="4"/>
      <c r="T16" s="4"/>
      <c r="U16" s="4"/>
      <c r="V16" s="4"/>
      <c r="W16" s="4"/>
      <c r="X16" s="4"/>
    </row>
    <row r="17" spans="1:16" ht="45" x14ac:dyDescent="0.6">
      <c r="A17" s="5"/>
      <c r="B17" s="6"/>
      <c r="C17" s="6"/>
      <c r="D17" s="6"/>
      <c r="E17" s="7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x14ac:dyDescent="0.2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14.25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14.25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14.25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14.25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</sheetData>
  <mergeCells count="27">
    <mergeCell ref="V5:W5"/>
    <mergeCell ref="A6:X6"/>
    <mergeCell ref="A7:B7"/>
    <mergeCell ref="C7:E7"/>
    <mergeCell ref="F7:M7"/>
    <mergeCell ref="N7:P7"/>
    <mergeCell ref="Q7:V7"/>
    <mergeCell ref="W7:W9"/>
    <mergeCell ref="X7:X9"/>
    <mergeCell ref="A8:A9"/>
    <mergeCell ref="O8:O9"/>
    <mergeCell ref="B8:B9"/>
    <mergeCell ref="C8:C9"/>
    <mergeCell ref="D8:D9"/>
    <mergeCell ref="E8:E9"/>
    <mergeCell ref="F8:F9"/>
    <mergeCell ref="G8:G9"/>
    <mergeCell ref="H8:I8"/>
    <mergeCell ref="J8:K8"/>
    <mergeCell ref="L8:L9"/>
    <mergeCell ref="M8:M9"/>
    <mergeCell ref="V8:V9"/>
    <mergeCell ref="N8:N9"/>
    <mergeCell ref="P8:P9"/>
    <mergeCell ref="Q8:R8"/>
    <mergeCell ref="S8:T8"/>
    <mergeCell ref="U8:U9"/>
  </mergeCells>
  <pageMargins left="0" right="0" top="0.39370078740157505" bottom="0.39370078740157505" header="0" footer="0"/>
  <pageSetup paperSize="0" fitToWidth="0" fitToHeight="0" pageOrder="overThenDown" horizontalDpi="0" verticalDpi="0" copies="0"/>
  <headerFooter>
    <oddHeader>&amp;C&amp;A</oddHeader>
    <oddFooter>&amp;CPágina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tabSelected="1" workbookViewId="0">
      <selection activeCell="C25" sqref="C25"/>
    </sheetView>
  </sheetViews>
  <sheetFormatPr defaultRowHeight="15" customHeight="1" x14ac:dyDescent="0.2"/>
  <cols>
    <col min="1" max="1" width="19.125" customWidth="1"/>
    <col min="2" max="2" width="28.875" bestFit="1" customWidth="1"/>
    <col min="3" max="3" width="46" bestFit="1" customWidth="1"/>
    <col min="4" max="4" width="12" customWidth="1"/>
    <col min="5" max="5" width="17.5" customWidth="1"/>
    <col min="6" max="6" width="35.125" customWidth="1"/>
    <col min="7" max="7" width="11.25" customWidth="1"/>
    <col min="8" max="8" width="4.75" customWidth="1"/>
    <col min="9" max="9" width="16.5" customWidth="1"/>
    <col min="10" max="10" width="4" customWidth="1"/>
    <col min="11" max="11" width="16.75" customWidth="1"/>
    <col min="12" max="12" width="12.125" customWidth="1"/>
    <col min="13" max="13" width="12.25" customWidth="1"/>
    <col min="14" max="14" width="14" customWidth="1"/>
    <col min="15" max="15" width="14.25" customWidth="1"/>
    <col min="16" max="23" width="18" customWidth="1"/>
    <col min="24" max="24" width="38.375" customWidth="1"/>
    <col min="25" max="1024" width="18" customWidth="1"/>
    <col min="1025" max="1025" width="9" customWidth="1"/>
  </cols>
  <sheetData>
    <row r="1" spans="1:24" ht="14.2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4.2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3.2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40" t="s">
        <v>0</v>
      </c>
      <c r="W5" s="40"/>
      <c r="X5" s="8">
        <v>43221</v>
      </c>
    </row>
    <row r="6" spans="1:24" x14ac:dyDescent="0.25">
      <c r="A6" s="41" t="s">
        <v>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</row>
    <row r="7" spans="1:24" x14ac:dyDescent="0.25">
      <c r="A7" s="41" t="s">
        <v>5</v>
      </c>
      <c r="B7" s="41"/>
      <c r="C7" s="41" t="s">
        <v>6</v>
      </c>
      <c r="D7" s="41"/>
      <c r="E7" s="41"/>
      <c r="F7" s="41" t="s">
        <v>3</v>
      </c>
      <c r="G7" s="41"/>
      <c r="H7" s="41"/>
      <c r="I7" s="41"/>
      <c r="J7" s="41"/>
      <c r="K7" s="41"/>
      <c r="L7" s="41"/>
      <c r="M7" s="41"/>
      <c r="N7" s="41" t="s">
        <v>7</v>
      </c>
      <c r="O7" s="41"/>
      <c r="P7" s="41"/>
      <c r="Q7" s="41" t="s">
        <v>1</v>
      </c>
      <c r="R7" s="41"/>
      <c r="S7" s="41"/>
      <c r="T7" s="41"/>
      <c r="U7" s="41"/>
      <c r="V7" s="41"/>
      <c r="W7" s="41" t="s">
        <v>8</v>
      </c>
      <c r="X7" s="41" t="s">
        <v>9</v>
      </c>
    </row>
    <row r="8" spans="1:24" s="9" customFormat="1" x14ac:dyDescent="0.25">
      <c r="A8" s="39" t="s">
        <v>10</v>
      </c>
      <c r="B8" s="39" t="s">
        <v>11</v>
      </c>
      <c r="C8" s="39" t="s">
        <v>12</v>
      </c>
      <c r="D8" s="39" t="s">
        <v>13</v>
      </c>
      <c r="E8" s="39" t="s">
        <v>14</v>
      </c>
      <c r="F8" s="39" t="s">
        <v>15</v>
      </c>
      <c r="G8" s="39" t="s">
        <v>16</v>
      </c>
      <c r="H8" s="39" t="s">
        <v>17</v>
      </c>
      <c r="I8" s="39"/>
      <c r="J8" s="38" t="s">
        <v>18</v>
      </c>
      <c r="K8" s="38"/>
      <c r="L8" s="39" t="s">
        <v>19</v>
      </c>
      <c r="M8" s="39" t="s">
        <v>20</v>
      </c>
      <c r="N8" s="38" t="s">
        <v>21</v>
      </c>
      <c r="O8" s="38" t="s">
        <v>22</v>
      </c>
      <c r="P8" s="38" t="s">
        <v>23</v>
      </c>
      <c r="Q8" s="38" t="s">
        <v>24</v>
      </c>
      <c r="R8" s="38"/>
      <c r="S8" s="38" t="s">
        <v>25</v>
      </c>
      <c r="T8" s="38"/>
      <c r="U8" s="39" t="s">
        <v>26</v>
      </c>
      <c r="V8" s="38" t="s">
        <v>23</v>
      </c>
      <c r="W8" s="41"/>
      <c r="X8" s="41"/>
    </row>
    <row r="9" spans="1:24" s="9" customFormat="1" ht="17.25" customHeight="1" x14ac:dyDescent="0.25">
      <c r="A9" s="39"/>
      <c r="B9" s="39"/>
      <c r="C9" s="39"/>
      <c r="D9" s="39"/>
      <c r="E9" s="39"/>
      <c r="F9" s="39"/>
      <c r="G9" s="39"/>
      <c r="H9" s="10" t="s">
        <v>27</v>
      </c>
      <c r="I9" s="10" t="s">
        <v>28</v>
      </c>
      <c r="J9" s="10" t="s">
        <v>27</v>
      </c>
      <c r="K9" s="11" t="s">
        <v>29</v>
      </c>
      <c r="L9" s="39"/>
      <c r="M9" s="39"/>
      <c r="N9" s="38"/>
      <c r="O9" s="38"/>
      <c r="P9" s="38"/>
      <c r="Q9" s="10" t="s">
        <v>2</v>
      </c>
      <c r="R9" s="11" t="s">
        <v>30</v>
      </c>
      <c r="S9" s="10" t="s">
        <v>2</v>
      </c>
      <c r="T9" s="11" t="s">
        <v>30</v>
      </c>
      <c r="U9" s="39"/>
      <c r="V9" s="38"/>
      <c r="W9" s="41"/>
      <c r="X9" s="41"/>
    </row>
    <row r="10" spans="1:24" ht="47.25" customHeight="1" x14ac:dyDescent="0.2">
      <c r="A10" s="34"/>
      <c r="B10" s="34"/>
      <c r="C10" s="43" t="s">
        <v>245</v>
      </c>
      <c r="D10" s="29"/>
      <c r="E10" s="34"/>
      <c r="F10" s="34"/>
      <c r="G10" s="30"/>
      <c r="H10" s="27"/>
      <c r="I10" s="27"/>
      <c r="J10" s="27"/>
      <c r="K10" s="31"/>
      <c r="L10" s="35"/>
      <c r="M10" s="35"/>
      <c r="N10" s="31"/>
      <c r="O10" s="31"/>
      <c r="P10" s="31"/>
      <c r="Q10" s="27"/>
      <c r="R10" s="31"/>
      <c r="S10" s="27"/>
      <c r="T10" s="31"/>
      <c r="U10" s="32"/>
      <c r="V10" s="31"/>
      <c r="W10" s="31"/>
      <c r="X10" s="37"/>
    </row>
    <row r="11" spans="1:24" x14ac:dyDescent="0.2">
      <c r="A11" s="34"/>
      <c r="B11" s="34"/>
      <c r="C11" s="42"/>
      <c r="D11" s="29"/>
      <c r="E11" s="34"/>
      <c r="F11" s="34"/>
      <c r="G11" s="30"/>
      <c r="H11" s="27"/>
      <c r="I11" s="27"/>
      <c r="J11" s="27"/>
      <c r="K11" s="31"/>
      <c r="L11" s="35"/>
      <c r="M11" s="35"/>
      <c r="N11" s="31"/>
      <c r="O11" s="31"/>
      <c r="P11" s="31"/>
      <c r="Q11" s="27"/>
      <c r="R11" s="31"/>
      <c r="S11" s="27"/>
      <c r="T11" s="31"/>
      <c r="U11" s="32"/>
      <c r="V11" s="31"/>
      <c r="W11" s="31"/>
      <c r="X11" s="33"/>
    </row>
    <row r="12" spans="1:24" ht="14.25" x14ac:dyDescent="0.2">
      <c r="A12" s="34"/>
      <c r="B12" s="34"/>
      <c r="C12" s="27"/>
      <c r="D12" s="29"/>
      <c r="E12" s="34"/>
      <c r="F12" s="34"/>
      <c r="G12" s="30"/>
      <c r="H12" s="27"/>
      <c r="I12" s="27"/>
      <c r="J12" s="27"/>
      <c r="K12" s="31"/>
      <c r="L12" s="35"/>
      <c r="M12" s="35"/>
      <c r="N12" s="31"/>
      <c r="O12" s="31"/>
      <c r="P12" s="31"/>
      <c r="Q12" s="27"/>
      <c r="R12" s="31"/>
      <c r="S12" s="27"/>
      <c r="T12" s="31"/>
      <c r="U12" s="32"/>
      <c r="V12" s="31"/>
      <c r="W12" s="31"/>
      <c r="X12" s="33"/>
    </row>
    <row r="13" spans="1:24" ht="14.25" x14ac:dyDescent="0.2">
      <c r="A13" s="34"/>
      <c r="B13" s="34"/>
      <c r="C13" s="27"/>
      <c r="D13" s="29"/>
      <c r="E13" s="34"/>
      <c r="F13" s="34"/>
      <c r="G13" s="30"/>
      <c r="H13" s="27"/>
      <c r="I13" s="27"/>
      <c r="J13" s="27"/>
      <c r="K13" s="31"/>
      <c r="L13" s="35"/>
      <c r="M13" s="35"/>
      <c r="N13" s="31"/>
      <c r="O13" s="31"/>
      <c r="P13" s="31"/>
      <c r="Q13" s="27"/>
      <c r="R13" s="31"/>
      <c r="S13" s="27"/>
      <c r="T13" s="31"/>
      <c r="U13" s="32"/>
      <c r="V13" s="31"/>
      <c r="W13" s="31"/>
      <c r="X13" s="33"/>
    </row>
    <row r="14" spans="1:24" ht="14.25" x14ac:dyDescent="0.2">
      <c r="A14" s="34"/>
      <c r="B14" s="34"/>
      <c r="C14" s="27"/>
      <c r="D14" s="29"/>
      <c r="E14" s="20"/>
      <c r="F14" s="34"/>
      <c r="G14" s="30"/>
      <c r="H14" s="27"/>
      <c r="I14" s="27"/>
      <c r="J14" s="27"/>
      <c r="K14" s="31"/>
      <c r="L14" s="35"/>
      <c r="M14" s="35"/>
      <c r="N14" s="31"/>
      <c r="O14" s="31"/>
      <c r="P14" s="31"/>
      <c r="Q14" s="27"/>
      <c r="R14" s="31"/>
      <c r="S14" s="27"/>
      <c r="T14" s="31"/>
      <c r="U14" s="32"/>
      <c r="V14" s="31"/>
      <c r="W14" s="31"/>
      <c r="X14" s="33"/>
    </row>
    <row r="15" spans="1:24" ht="14.25" x14ac:dyDescent="0.2">
      <c r="A15" s="34"/>
      <c r="B15" s="34"/>
      <c r="C15" s="27"/>
      <c r="D15" s="29"/>
      <c r="E15" s="20"/>
      <c r="F15" s="34"/>
      <c r="G15" s="30"/>
      <c r="H15" s="27"/>
      <c r="I15" s="27"/>
      <c r="J15" s="27"/>
      <c r="K15" s="31"/>
      <c r="L15" s="35"/>
      <c r="M15" s="35"/>
      <c r="N15" s="31"/>
      <c r="O15" s="31"/>
      <c r="P15" s="31"/>
      <c r="Q15" s="27"/>
      <c r="R15" s="31"/>
      <c r="S15" s="27"/>
      <c r="T15" s="31"/>
      <c r="U15" s="32"/>
      <c r="V15" s="31"/>
      <c r="W15" s="31"/>
      <c r="X15" s="33"/>
    </row>
    <row r="16" spans="1:24" ht="14.25" x14ac:dyDescent="0.2">
      <c r="A16" s="34"/>
      <c r="B16" s="34"/>
      <c r="C16" s="27"/>
      <c r="D16" s="29"/>
      <c r="E16" s="20"/>
      <c r="F16" s="34"/>
      <c r="G16" s="30"/>
      <c r="H16" s="27"/>
      <c r="I16" s="27"/>
      <c r="J16" s="27"/>
      <c r="K16" s="31"/>
      <c r="L16" s="35"/>
      <c r="M16" s="35"/>
      <c r="N16" s="31"/>
      <c r="O16" s="31"/>
      <c r="P16" s="31"/>
      <c r="Q16" s="27"/>
      <c r="R16" s="31"/>
      <c r="S16" s="27"/>
      <c r="T16" s="31"/>
      <c r="U16" s="32"/>
      <c r="V16" s="31"/>
      <c r="W16" s="31"/>
      <c r="X16" s="33"/>
    </row>
    <row r="17" spans="1:24" ht="14.25" x14ac:dyDescent="0.2">
      <c r="A17" s="34"/>
      <c r="B17" s="34"/>
      <c r="C17" s="27"/>
      <c r="D17" s="29"/>
      <c r="E17" s="20"/>
      <c r="F17" s="34"/>
      <c r="G17" s="30"/>
      <c r="H17" s="27"/>
      <c r="I17" s="27"/>
      <c r="J17" s="27"/>
      <c r="K17" s="31"/>
      <c r="L17" s="35"/>
      <c r="M17" s="35"/>
      <c r="N17" s="31"/>
      <c r="O17" s="31"/>
      <c r="P17" s="31"/>
      <c r="Q17" s="27"/>
      <c r="R17" s="31"/>
      <c r="S17" s="27"/>
      <c r="T17" s="31"/>
      <c r="U17" s="32"/>
      <c r="V17" s="31"/>
      <c r="W17" s="31"/>
      <c r="X17" s="33"/>
    </row>
  </sheetData>
  <mergeCells count="27">
    <mergeCell ref="V8:V9"/>
    <mergeCell ref="N8:N9"/>
    <mergeCell ref="P8:P9"/>
    <mergeCell ref="Q8:R8"/>
    <mergeCell ref="S8:T8"/>
    <mergeCell ref="U8:U9"/>
    <mergeCell ref="G8:G9"/>
    <mergeCell ref="H8:I8"/>
    <mergeCell ref="J8:K8"/>
    <mergeCell ref="L8:L9"/>
    <mergeCell ref="M8:M9"/>
    <mergeCell ref="V5:W5"/>
    <mergeCell ref="A6:X6"/>
    <mergeCell ref="A7:B7"/>
    <mergeCell ref="C7:E7"/>
    <mergeCell ref="F7:M7"/>
    <mergeCell ref="N7:P7"/>
    <mergeCell ref="Q7:V7"/>
    <mergeCell ref="W7:W9"/>
    <mergeCell ref="X7:X9"/>
    <mergeCell ref="A8:A9"/>
    <mergeCell ref="O8:O9"/>
    <mergeCell ref="B8:B9"/>
    <mergeCell ref="C8:C9"/>
    <mergeCell ref="D8:D9"/>
    <mergeCell ref="E8:E9"/>
    <mergeCell ref="F8:F9"/>
  </mergeCells>
  <pageMargins left="0" right="0" top="0.39370078740157505" bottom="0.39370078740157505" header="0" footer="0"/>
  <pageSetup paperSize="9" fitToWidth="0" fitToHeight="0" pageOrder="overThenDown" orientation="portrait" r:id="rId1"/>
  <headerFooter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workbookViewId="0">
      <selection activeCell="E12" sqref="E12"/>
    </sheetView>
  </sheetViews>
  <sheetFormatPr defaultRowHeight="15" customHeight="1" x14ac:dyDescent="0.2"/>
  <cols>
    <col min="1" max="1" width="8.625" customWidth="1"/>
    <col min="2" max="2" width="10.75" customWidth="1"/>
    <col min="3" max="3" width="44" customWidth="1"/>
    <col min="4" max="4" width="12" customWidth="1"/>
    <col min="5" max="5" width="17.5" customWidth="1"/>
    <col min="6" max="6" width="35.125" customWidth="1"/>
    <col min="7" max="7" width="11.25" customWidth="1"/>
    <col min="8" max="8" width="4.75" customWidth="1"/>
    <col min="9" max="9" width="16.5" customWidth="1"/>
    <col min="10" max="10" width="4" customWidth="1"/>
    <col min="11" max="11" width="16.75" customWidth="1"/>
    <col min="12" max="12" width="12.125" customWidth="1"/>
    <col min="13" max="13" width="12.25" customWidth="1"/>
    <col min="14" max="14" width="14" customWidth="1"/>
    <col min="15" max="15" width="14.25" customWidth="1"/>
    <col min="16" max="1024" width="18" customWidth="1"/>
    <col min="1025" max="1025" width="9" customWidth="1"/>
  </cols>
  <sheetData>
    <row r="1" spans="1:24" ht="14.2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4.2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3.2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40" t="s">
        <v>0</v>
      </c>
      <c r="W5" s="40"/>
      <c r="X5" s="8">
        <v>42948</v>
      </c>
    </row>
    <row r="6" spans="1:24" x14ac:dyDescent="0.25">
      <c r="A6" s="41" t="s">
        <v>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</row>
    <row r="7" spans="1:24" x14ac:dyDescent="0.25">
      <c r="A7" s="41" t="s">
        <v>5</v>
      </c>
      <c r="B7" s="41"/>
      <c r="C7" s="41" t="s">
        <v>6</v>
      </c>
      <c r="D7" s="41"/>
      <c r="E7" s="41"/>
      <c r="F7" s="41" t="s">
        <v>3</v>
      </c>
      <c r="G7" s="41"/>
      <c r="H7" s="41"/>
      <c r="I7" s="41"/>
      <c r="J7" s="41"/>
      <c r="K7" s="41"/>
      <c r="L7" s="41"/>
      <c r="M7" s="41"/>
      <c r="N7" s="41" t="s">
        <v>7</v>
      </c>
      <c r="O7" s="41"/>
      <c r="P7" s="41"/>
      <c r="Q7" s="41" t="s">
        <v>1</v>
      </c>
      <c r="R7" s="41"/>
      <c r="S7" s="41"/>
      <c r="T7" s="41"/>
      <c r="U7" s="41"/>
      <c r="V7" s="41"/>
      <c r="W7" s="41" t="s">
        <v>8</v>
      </c>
      <c r="X7" s="41" t="s">
        <v>9</v>
      </c>
    </row>
    <row r="8" spans="1:24" s="9" customFormat="1" x14ac:dyDescent="0.25">
      <c r="A8" s="39" t="s">
        <v>10</v>
      </c>
      <c r="B8" s="39" t="s">
        <v>11</v>
      </c>
      <c r="C8" s="39" t="s">
        <v>12</v>
      </c>
      <c r="D8" s="39" t="s">
        <v>13</v>
      </c>
      <c r="E8" s="39" t="s">
        <v>14</v>
      </c>
      <c r="F8" s="39" t="s">
        <v>15</v>
      </c>
      <c r="G8" s="39" t="s">
        <v>16</v>
      </c>
      <c r="H8" s="39" t="s">
        <v>17</v>
      </c>
      <c r="I8" s="39"/>
      <c r="J8" s="38" t="s">
        <v>18</v>
      </c>
      <c r="K8" s="38"/>
      <c r="L8" s="39" t="s">
        <v>19</v>
      </c>
      <c r="M8" s="39" t="s">
        <v>20</v>
      </c>
      <c r="N8" s="38" t="s">
        <v>21</v>
      </c>
      <c r="O8" s="38" t="s">
        <v>22</v>
      </c>
      <c r="P8" s="38" t="s">
        <v>23</v>
      </c>
      <c r="Q8" s="38" t="s">
        <v>24</v>
      </c>
      <c r="R8" s="38"/>
      <c r="S8" s="38" t="s">
        <v>25</v>
      </c>
      <c r="T8" s="38"/>
      <c r="U8" s="39" t="s">
        <v>26</v>
      </c>
      <c r="V8" s="38" t="s">
        <v>23</v>
      </c>
      <c r="W8" s="41"/>
      <c r="X8" s="41"/>
    </row>
    <row r="9" spans="1:24" s="9" customFormat="1" x14ac:dyDescent="0.25">
      <c r="A9" s="39"/>
      <c r="B9" s="39"/>
      <c r="C9" s="39"/>
      <c r="D9" s="39"/>
      <c r="E9" s="39"/>
      <c r="F9" s="39"/>
      <c r="G9" s="39"/>
      <c r="H9" s="10" t="s">
        <v>27</v>
      </c>
      <c r="I9" s="10" t="s">
        <v>28</v>
      </c>
      <c r="J9" s="10" t="s">
        <v>27</v>
      </c>
      <c r="K9" s="11" t="s">
        <v>29</v>
      </c>
      <c r="L9" s="39"/>
      <c r="M9" s="39"/>
      <c r="N9" s="38"/>
      <c r="O9" s="38"/>
      <c r="P9" s="38"/>
      <c r="Q9" s="10" t="s">
        <v>2</v>
      </c>
      <c r="R9" s="11" t="s">
        <v>30</v>
      </c>
      <c r="S9" s="10" t="s">
        <v>2</v>
      </c>
      <c r="T9" s="11" t="s">
        <v>30</v>
      </c>
      <c r="U9" s="39"/>
      <c r="V9" s="38"/>
      <c r="W9" s="41"/>
      <c r="X9" s="41"/>
    </row>
    <row r="10" spans="1:24" ht="38.25" x14ac:dyDescent="0.2">
      <c r="A10" s="19" t="s">
        <v>49</v>
      </c>
      <c r="B10" s="19" t="s">
        <v>60</v>
      </c>
      <c r="C10" s="19" t="s">
        <v>58</v>
      </c>
      <c r="D10" s="26" t="s">
        <v>59</v>
      </c>
      <c r="E10" s="20" t="s">
        <v>84</v>
      </c>
      <c r="F10" s="14" t="s">
        <v>63</v>
      </c>
      <c r="G10" s="21" t="s">
        <v>31</v>
      </c>
      <c r="H10" s="19" t="s">
        <v>32</v>
      </c>
      <c r="I10" s="19" t="s">
        <v>33</v>
      </c>
      <c r="J10" s="19" t="s">
        <v>61</v>
      </c>
      <c r="K10" s="22" t="s">
        <v>62</v>
      </c>
      <c r="L10" s="23">
        <v>42962</v>
      </c>
      <c r="M10" s="23">
        <v>42963</v>
      </c>
      <c r="N10" s="22">
        <f>931.88/2</f>
        <v>465.94</v>
      </c>
      <c r="O10" s="22">
        <f>931.88/2</f>
        <v>465.94</v>
      </c>
      <c r="P10" s="22">
        <f>N10+O10</f>
        <v>931.88</v>
      </c>
      <c r="Q10" s="19">
        <v>4</v>
      </c>
      <c r="R10" s="22">
        <v>120</v>
      </c>
      <c r="S10" s="19"/>
      <c r="T10" s="22"/>
      <c r="U10" s="24">
        <f>(Q10*R10)+(S10*T10)</f>
        <v>480</v>
      </c>
      <c r="V10" s="22">
        <f>P10+U10</f>
        <v>1411.88</v>
      </c>
      <c r="W10" s="22">
        <f>V10</f>
        <v>1411.88</v>
      </c>
      <c r="X10" s="12"/>
    </row>
    <row r="11" spans="1:24" ht="25.5" x14ac:dyDescent="0.2">
      <c r="A11" s="19" t="s">
        <v>49</v>
      </c>
      <c r="B11" s="12" t="s">
        <v>65</v>
      </c>
      <c r="C11" s="12" t="s">
        <v>64</v>
      </c>
      <c r="D11" s="26" t="s">
        <v>66</v>
      </c>
      <c r="E11" s="14" t="s">
        <v>85</v>
      </c>
      <c r="F11" s="14" t="s">
        <v>67</v>
      </c>
      <c r="G11" s="21" t="s">
        <v>31</v>
      </c>
      <c r="H11" s="19" t="s">
        <v>32</v>
      </c>
      <c r="I11" s="19" t="s">
        <v>33</v>
      </c>
      <c r="J11" s="19" t="s">
        <v>38</v>
      </c>
      <c r="K11" s="22" t="s">
        <v>39</v>
      </c>
      <c r="L11" s="16">
        <v>42960</v>
      </c>
      <c r="M11" s="16">
        <v>42963</v>
      </c>
      <c r="N11" s="22">
        <f>888.12/2</f>
        <v>444.06</v>
      </c>
      <c r="O11" s="22">
        <f>888.12/2</f>
        <v>444.06</v>
      </c>
      <c r="P11" s="22">
        <f t="shared" ref="P11:P22" si="0">N11+O11</f>
        <v>888.12</v>
      </c>
      <c r="Q11" s="19">
        <v>4</v>
      </c>
      <c r="R11" s="22">
        <v>120</v>
      </c>
      <c r="S11" s="12">
        <v>3</v>
      </c>
      <c r="T11" s="15">
        <v>100</v>
      </c>
      <c r="U11" s="24">
        <f>(Q11*R11)+(S11*T11)</f>
        <v>780</v>
      </c>
      <c r="V11" s="22">
        <f>P11+U11</f>
        <v>1668.12</v>
      </c>
      <c r="W11" s="22">
        <f>V11</f>
        <v>1668.12</v>
      </c>
      <c r="X11" s="12"/>
    </row>
    <row r="12" spans="1:24" ht="38.25" x14ac:dyDescent="0.2">
      <c r="A12" s="12" t="s">
        <v>44</v>
      </c>
      <c r="B12" s="12" t="s">
        <v>45</v>
      </c>
      <c r="C12" s="14" t="s">
        <v>42</v>
      </c>
      <c r="D12" s="26" t="s">
        <v>68</v>
      </c>
      <c r="E12" s="14" t="s">
        <v>54</v>
      </c>
      <c r="F12" s="14" t="s">
        <v>69</v>
      </c>
      <c r="G12" s="21" t="s">
        <v>31</v>
      </c>
      <c r="H12" s="19" t="s">
        <v>32</v>
      </c>
      <c r="I12" s="19" t="s">
        <v>33</v>
      </c>
      <c r="J12" s="19" t="s">
        <v>38</v>
      </c>
      <c r="K12" s="22" t="s">
        <v>39</v>
      </c>
      <c r="L12" s="16">
        <v>42962</v>
      </c>
      <c r="M12" s="16">
        <v>42965</v>
      </c>
      <c r="N12" s="22">
        <f>602.42/2</f>
        <v>301.20999999999998</v>
      </c>
      <c r="O12" s="22">
        <f>602.42/2</f>
        <v>301.20999999999998</v>
      </c>
      <c r="P12" s="22">
        <f t="shared" si="0"/>
        <v>602.41999999999996</v>
      </c>
      <c r="Q12" s="19">
        <v>7</v>
      </c>
      <c r="R12" s="22">
        <v>120</v>
      </c>
      <c r="S12" s="12"/>
      <c r="T12" s="15"/>
      <c r="U12" s="24">
        <f t="shared" ref="U12:U22" si="1">(Q12*R12)+(S12*T12)</f>
        <v>840</v>
      </c>
      <c r="V12" s="22">
        <f t="shared" ref="V12:V22" si="2">P12+U12</f>
        <v>1442.42</v>
      </c>
      <c r="W12" s="22">
        <f t="shared" ref="W12:W22" si="3">V12</f>
        <v>1442.42</v>
      </c>
      <c r="X12" s="12"/>
    </row>
    <row r="13" spans="1:24" ht="38.25" x14ac:dyDescent="0.2">
      <c r="A13" s="19" t="s">
        <v>49</v>
      </c>
      <c r="B13" s="12" t="s">
        <v>65</v>
      </c>
      <c r="C13" s="12" t="s">
        <v>70</v>
      </c>
      <c r="D13" s="26" t="s">
        <v>71</v>
      </c>
      <c r="E13" s="14" t="s">
        <v>86</v>
      </c>
      <c r="F13" s="14" t="s">
        <v>67</v>
      </c>
      <c r="G13" s="21" t="s">
        <v>31</v>
      </c>
      <c r="H13" s="19" t="s">
        <v>32</v>
      </c>
      <c r="I13" s="19" t="s">
        <v>33</v>
      </c>
      <c r="J13" s="19" t="s">
        <v>38</v>
      </c>
      <c r="K13" s="22" t="s">
        <v>39</v>
      </c>
      <c r="L13" s="16">
        <v>42960</v>
      </c>
      <c r="M13" s="16">
        <v>42963</v>
      </c>
      <c r="N13" s="22">
        <f>888.12/2</f>
        <v>444.06</v>
      </c>
      <c r="O13" s="22">
        <f>888.12/2</f>
        <v>444.06</v>
      </c>
      <c r="P13" s="22">
        <f t="shared" si="0"/>
        <v>888.12</v>
      </c>
      <c r="Q13" s="19">
        <v>4</v>
      </c>
      <c r="R13" s="22">
        <v>120</v>
      </c>
      <c r="S13" s="18">
        <v>3</v>
      </c>
      <c r="T13" s="15">
        <v>100</v>
      </c>
      <c r="U13" s="24">
        <f t="shared" si="1"/>
        <v>780</v>
      </c>
      <c r="V13" s="22">
        <f t="shared" si="2"/>
        <v>1668.12</v>
      </c>
      <c r="W13" s="22">
        <f t="shared" si="3"/>
        <v>1668.12</v>
      </c>
      <c r="X13" s="18"/>
    </row>
    <row r="14" spans="1:24" ht="25.5" x14ac:dyDescent="0.2">
      <c r="A14" s="12" t="s">
        <v>34</v>
      </c>
      <c r="B14" s="12" t="s">
        <v>35</v>
      </c>
      <c r="C14" s="12" t="s">
        <v>36</v>
      </c>
      <c r="D14" s="26" t="s">
        <v>57</v>
      </c>
      <c r="E14" s="14" t="s">
        <v>52</v>
      </c>
      <c r="F14" s="14" t="s">
        <v>73</v>
      </c>
      <c r="G14" s="21" t="s">
        <v>31</v>
      </c>
      <c r="H14" s="19" t="s">
        <v>32</v>
      </c>
      <c r="I14" s="19" t="s">
        <v>33</v>
      </c>
      <c r="J14" s="19" t="s">
        <v>38</v>
      </c>
      <c r="K14" s="22" t="s">
        <v>39</v>
      </c>
      <c r="L14" s="16">
        <v>42954</v>
      </c>
      <c r="M14" s="16">
        <v>42957</v>
      </c>
      <c r="N14" s="22">
        <f>928.2/2</f>
        <v>464.1</v>
      </c>
      <c r="O14" s="22">
        <f>928.2/2</f>
        <v>464.1</v>
      </c>
      <c r="P14" s="22">
        <f t="shared" si="0"/>
        <v>928.2</v>
      </c>
      <c r="Q14" s="19">
        <v>4</v>
      </c>
      <c r="R14" s="22">
        <v>120</v>
      </c>
      <c r="S14" s="18"/>
      <c r="T14" s="15"/>
      <c r="U14" s="24">
        <f t="shared" si="1"/>
        <v>480</v>
      </c>
      <c r="V14" s="22">
        <f t="shared" si="2"/>
        <v>1408.2</v>
      </c>
      <c r="W14" s="22">
        <f t="shared" si="3"/>
        <v>1408.2</v>
      </c>
      <c r="X14" s="18"/>
    </row>
    <row r="15" spans="1:24" ht="25.5" x14ac:dyDescent="0.2">
      <c r="A15" s="12" t="s">
        <v>44</v>
      </c>
      <c r="B15" s="12" t="s">
        <v>44</v>
      </c>
      <c r="C15" s="12" t="s">
        <v>72</v>
      </c>
      <c r="D15" s="26" t="s">
        <v>74</v>
      </c>
      <c r="E15" s="14" t="s">
        <v>87</v>
      </c>
      <c r="F15" s="14" t="s">
        <v>73</v>
      </c>
      <c r="G15" s="21" t="s">
        <v>31</v>
      </c>
      <c r="H15" s="19" t="s">
        <v>32</v>
      </c>
      <c r="I15" s="19" t="s">
        <v>33</v>
      </c>
      <c r="J15" s="19" t="s">
        <v>38</v>
      </c>
      <c r="K15" s="22" t="s">
        <v>39</v>
      </c>
      <c r="L15" s="16">
        <v>42962</v>
      </c>
      <c r="M15" s="16">
        <v>42963</v>
      </c>
      <c r="N15" s="22">
        <f>602.42/2</f>
        <v>301.20999999999998</v>
      </c>
      <c r="O15" s="22">
        <f>602.42/2</f>
        <v>301.20999999999998</v>
      </c>
      <c r="P15" s="22">
        <f t="shared" si="0"/>
        <v>602.41999999999996</v>
      </c>
      <c r="Q15" s="19">
        <v>2</v>
      </c>
      <c r="R15" s="22">
        <v>120</v>
      </c>
      <c r="S15" s="18"/>
      <c r="T15" s="15"/>
      <c r="U15" s="24">
        <f t="shared" si="1"/>
        <v>240</v>
      </c>
      <c r="V15" s="22">
        <f t="shared" si="2"/>
        <v>842.42</v>
      </c>
      <c r="W15" s="22">
        <f t="shared" si="3"/>
        <v>842.42</v>
      </c>
      <c r="X15" s="18"/>
    </row>
    <row r="16" spans="1:24" ht="25.5" x14ac:dyDescent="0.2">
      <c r="A16" s="12" t="s">
        <v>34</v>
      </c>
      <c r="B16" s="12" t="s">
        <v>34</v>
      </c>
      <c r="C16" s="12" t="s">
        <v>46</v>
      </c>
      <c r="D16" s="26" t="s">
        <v>74</v>
      </c>
      <c r="E16" s="14" t="s">
        <v>55</v>
      </c>
      <c r="F16" s="14" t="s">
        <v>73</v>
      </c>
      <c r="G16" s="21" t="s">
        <v>31</v>
      </c>
      <c r="H16" s="19" t="s">
        <v>32</v>
      </c>
      <c r="I16" s="19" t="s">
        <v>33</v>
      </c>
      <c r="J16" s="19" t="s">
        <v>38</v>
      </c>
      <c r="K16" s="22" t="s">
        <v>39</v>
      </c>
      <c r="L16" s="16">
        <v>42970</v>
      </c>
      <c r="M16" s="16">
        <v>42972</v>
      </c>
      <c r="N16" s="22">
        <f>562.67/2</f>
        <v>281.33499999999998</v>
      </c>
      <c r="O16" s="22">
        <f>562.67/2</f>
        <v>281.33499999999998</v>
      </c>
      <c r="P16" s="22">
        <f t="shared" si="0"/>
        <v>562.66999999999996</v>
      </c>
      <c r="Q16" s="19"/>
      <c r="R16" s="22"/>
      <c r="S16" s="18"/>
      <c r="T16" s="15"/>
      <c r="U16" s="24">
        <f t="shared" si="1"/>
        <v>0</v>
      </c>
      <c r="V16" s="22">
        <f>P16+U16</f>
        <v>562.66999999999996</v>
      </c>
      <c r="W16" s="22">
        <f t="shared" si="3"/>
        <v>562.66999999999996</v>
      </c>
      <c r="X16" s="18"/>
    </row>
    <row r="17" spans="1:24" ht="38.25" x14ac:dyDescent="0.2">
      <c r="A17" s="12" t="s">
        <v>44</v>
      </c>
      <c r="B17" s="12" t="s">
        <v>44</v>
      </c>
      <c r="C17" s="12" t="s">
        <v>75</v>
      </c>
      <c r="D17" s="26" t="s">
        <v>74</v>
      </c>
      <c r="E17" s="14" t="s">
        <v>88</v>
      </c>
      <c r="F17" s="14" t="s">
        <v>73</v>
      </c>
      <c r="G17" s="21" t="s">
        <v>31</v>
      </c>
      <c r="H17" s="19" t="s">
        <v>32</v>
      </c>
      <c r="I17" s="19" t="s">
        <v>33</v>
      </c>
      <c r="J17" s="19" t="s">
        <v>38</v>
      </c>
      <c r="K17" s="22" t="s">
        <v>39</v>
      </c>
      <c r="L17" s="16">
        <v>42969</v>
      </c>
      <c r="M17" s="16">
        <v>42970</v>
      </c>
      <c r="N17" s="22">
        <f>722.21/2</f>
        <v>361.10500000000002</v>
      </c>
      <c r="O17" s="22">
        <f>722.21/2</f>
        <v>361.10500000000002</v>
      </c>
      <c r="P17" s="22">
        <f t="shared" si="0"/>
        <v>722.21</v>
      </c>
      <c r="Q17" s="19"/>
      <c r="R17" s="22"/>
      <c r="S17" s="18"/>
      <c r="T17" s="15"/>
      <c r="U17" s="24">
        <f t="shared" si="1"/>
        <v>0</v>
      </c>
      <c r="V17" s="22">
        <f t="shared" si="2"/>
        <v>722.21</v>
      </c>
      <c r="W17" s="22">
        <f t="shared" si="3"/>
        <v>722.21</v>
      </c>
      <c r="X17" s="18"/>
    </row>
    <row r="18" spans="1:24" ht="25.5" x14ac:dyDescent="0.2">
      <c r="A18" s="12" t="s">
        <v>34</v>
      </c>
      <c r="B18" s="12" t="s">
        <v>77</v>
      </c>
      <c r="C18" s="12" t="s">
        <v>76</v>
      </c>
      <c r="D18" s="26" t="s">
        <v>78</v>
      </c>
      <c r="E18" s="14" t="s">
        <v>89</v>
      </c>
      <c r="F18" s="14" t="s">
        <v>79</v>
      </c>
      <c r="G18" s="21" t="s">
        <v>31</v>
      </c>
      <c r="H18" s="19" t="s">
        <v>32</v>
      </c>
      <c r="I18" s="19" t="s">
        <v>33</v>
      </c>
      <c r="J18" s="19" t="s">
        <v>38</v>
      </c>
      <c r="K18" s="22" t="s">
        <v>39</v>
      </c>
      <c r="L18" s="16">
        <v>42962</v>
      </c>
      <c r="M18" s="16">
        <v>42963</v>
      </c>
      <c r="N18" s="22">
        <f>506.24/2</f>
        <v>253.12</v>
      </c>
      <c r="O18" s="22">
        <f>506.24/2</f>
        <v>253.12</v>
      </c>
      <c r="P18" s="22">
        <f t="shared" si="0"/>
        <v>506.24</v>
      </c>
      <c r="Q18" s="19">
        <v>4</v>
      </c>
      <c r="R18" s="22">
        <v>120</v>
      </c>
      <c r="S18" s="18"/>
      <c r="T18" s="15"/>
      <c r="U18" s="24">
        <f t="shared" si="1"/>
        <v>480</v>
      </c>
      <c r="V18" s="22">
        <f t="shared" si="2"/>
        <v>986.24</v>
      </c>
      <c r="W18" s="22">
        <f t="shared" si="3"/>
        <v>986.24</v>
      </c>
      <c r="X18" s="18"/>
    </row>
    <row r="19" spans="1:24" ht="25.5" x14ac:dyDescent="0.2">
      <c r="A19" s="12" t="s">
        <v>49</v>
      </c>
      <c r="B19" s="12" t="s">
        <v>49</v>
      </c>
      <c r="C19" s="12" t="s">
        <v>80</v>
      </c>
      <c r="D19" s="26" t="s">
        <v>74</v>
      </c>
      <c r="E19" s="14" t="s">
        <v>90</v>
      </c>
      <c r="F19" s="14" t="s">
        <v>73</v>
      </c>
      <c r="G19" s="21" t="s">
        <v>31</v>
      </c>
      <c r="H19" s="19" t="s">
        <v>32</v>
      </c>
      <c r="I19" s="19" t="s">
        <v>33</v>
      </c>
      <c r="J19" s="19" t="s">
        <v>38</v>
      </c>
      <c r="K19" s="22" t="s">
        <v>39</v>
      </c>
      <c r="L19" s="16">
        <v>42969</v>
      </c>
      <c r="M19" s="16">
        <v>42969</v>
      </c>
      <c r="N19" s="22">
        <f>619.11/2</f>
        <v>309.55500000000001</v>
      </c>
      <c r="O19" s="22">
        <f>619.11/2</f>
        <v>309.55500000000001</v>
      </c>
      <c r="P19" s="22">
        <f t="shared" si="0"/>
        <v>619.11</v>
      </c>
      <c r="Q19" s="19"/>
      <c r="R19" s="22"/>
      <c r="S19" s="18"/>
      <c r="T19" s="15"/>
      <c r="U19" s="24">
        <f t="shared" si="1"/>
        <v>0</v>
      </c>
      <c r="V19" s="22">
        <f t="shared" si="2"/>
        <v>619.11</v>
      </c>
      <c r="W19" s="22">
        <f t="shared" si="3"/>
        <v>619.11</v>
      </c>
      <c r="X19" s="18"/>
    </row>
    <row r="20" spans="1:24" ht="25.5" x14ac:dyDescent="0.2">
      <c r="A20" s="12" t="s">
        <v>49</v>
      </c>
      <c r="B20" s="12" t="s">
        <v>50</v>
      </c>
      <c r="C20" s="12" t="s">
        <v>48</v>
      </c>
      <c r="D20" s="26" t="s">
        <v>81</v>
      </c>
      <c r="E20" s="14" t="s">
        <v>56</v>
      </c>
      <c r="F20" s="14" t="s">
        <v>82</v>
      </c>
      <c r="G20" s="21" t="s">
        <v>31</v>
      </c>
      <c r="H20" s="19" t="s">
        <v>32</v>
      </c>
      <c r="I20" s="19" t="s">
        <v>33</v>
      </c>
      <c r="J20" s="19" t="s">
        <v>38</v>
      </c>
      <c r="K20" s="22" t="s">
        <v>39</v>
      </c>
      <c r="L20" s="16">
        <v>42970</v>
      </c>
      <c r="M20" s="16">
        <v>42970</v>
      </c>
      <c r="N20" s="22">
        <f>578.8/2</f>
        <v>289.39999999999998</v>
      </c>
      <c r="O20" s="22">
        <f>578.8/2</f>
        <v>289.39999999999998</v>
      </c>
      <c r="P20" s="22">
        <f t="shared" si="0"/>
        <v>578.79999999999995</v>
      </c>
      <c r="Q20" s="19">
        <v>2</v>
      </c>
      <c r="R20" s="22">
        <v>120</v>
      </c>
      <c r="S20" s="18"/>
      <c r="T20" s="15"/>
      <c r="U20" s="24">
        <f t="shared" si="1"/>
        <v>240</v>
      </c>
      <c r="V20" s="22">
        <f t="shared" si="2"/>
        <v>818.8</v>
      </c>
      <c r="W20" s="22">
        <f t="shared" si="3"/>
        <v>818.8</v>
      </c>
      <c r="X20" s="18"/>
    </row>
    <row r="21" spans="1:24" ht="25.5" x14ac:dyDescent="0.2">
      <c r="A21" s="12" t="s">
        <v>49</v>
      </c>
      <c r="B21" s="12" t="s">
        <v>50</v>
      </c>
      <c r="C21" s="12" t="s">
        <v>48</v>
      </c>
      <c r="D21" s="26" t="s">
        <v>81</v>
      </c>
      <c r="E21" s="14" t="s">
        <v>56</v>
      </c>
      <c r="F21" s="14" t="s">
        <v>83</v>
      </c>
      <c r="G21" s="21" t="s">
        <v>31</v>
      </c>
      <c r="H21" s="19" t="s">
        <v>32</v>
      </c>
      <c r="I21" s="19" t="s">
        <v>33</v>
      </c>
      <c r="J21" s="19" t="s">
        <v>38</v>
      </c>
      <c r="K21" s="22" t="s">
        <v>39</v>
      </c>
      <c r="L21" s="16">
        <v>42978</v>
      </c>
      <c r="M21" s="16">
        <v>42979</v>
      </c>
      <c r="N21" s="22">
        <v>502.79</v>
      </c>
      <c r="O21" s="22">
        <v>847.7</v>
      </c>
      <c r="P21" s="22">
        <f t="shared" si="0"/>
        <v>1350.49</v>
      </c>
      <c r="Q21" s="19">
        <v>4</v>
      </c>
      <c r="R21" s="22">
        <v>120</v>
      </c>
      <c r="S21" s="18"/>
      <c r="T21" s="15"/>
      <c r="U21" s="24">
        <f t="shared" si="1"/>
        <v>480</v>
      </c>
      <c r="V21" s="22">
        <f t="shared" si="2"/>
        <v>1830.49</v>
      </c>
      <c r="W21" s="22">
        <f t="shared" si="3"/>
        <v>1830.49</v>
      </c>
      <c r="X21" s="18"/>
    </row>
    <row r="22" spans="1:24" ht="25.5" x14ac:dyDescent="0.2">
      <c r="A22" s="12" t="s">
        <v>49</v>
      </c>
      <c r="B22" s="12" t="s">
        <v>49</v>
      </c>
      <c r="C22" s="12" t="s">
        <v>80</v>
      </c>
      <c r="D22" s="26" t="s">
        <v>74</v>
      </c>
      <c r="E22" s="14" t="s">
        <v>90</v>
      </c>
      <c r="F22" s="14" t="s">
        <v>83</v>
      </c>
      <c r="G22" s="21" t="s">
        <v>31</v>
      </c>
      <c r="H22" s="19" t="s">
        <v>32</v>
      </c>
      <c r="I22" s="19" t="s">
        <v>33</v>
      </c>
      <c r="J22" s="19" t="s">
        <v>38</v>
      </c>
      <c r="K22" s="22" t="s">
        <v>39</v>
      </c>
      <c r="L22" s="16">
        <v>42978</v>
      </c>
      <c r="M22" s="16">
        <v>42979</v>
      </c>
      <c r="N22" s="22">
        <f>1350.49/2</f>
        <v>675.245</v>
      </c>
      <c r="O22" s="22">
        <f>1350.49/2</f>
        <v>675.245</v>
      </c>
      <c r="P22" s="22">
        <f t="shared" si="0"/>
        <v>1350.49</v>
      </c>
      <c r="Q22" s="19"/>
      <c r="R22" s="22"/>
      <c r="S22" s="18"/>
      <c r="T22" s="15"/>
      <c r="U22" s="24">
        <f t="shared" si="1"/>
        <v>0</v>
      </c>
      <c r="V22" s="22">
        <f t="shared" si="2"/>
        <v>1350.49</v>
      </c>
      <c r="W22" s="22">
        <f t="shared" si="3"/>
        <v>1350.49</v>
      </c>
      <c r="X22" s="18"/>
    </row>
  </sheetData>
  <mergeCells count="27">
    <mergeCell ref="V8:V9"/>
    <mergeCell ref="N8:N9"/>
    <mergeCell ref="P8:P9"/>
    <mergeCell ref="Q8:R8"/>
    <mergeCell ref="S8:T8"/>
    <mergeCell ref="U8:U9"/>
    <mergeCell ref="G8:G9"/>
    <mergeCell ref="H8:I8"/>
    <mergeCell ref="J8:K8"/>
    <mergeCell ref="L8:L9"/>
    <mergeCell ref="M8:M9"/>
    <mergeCell ref="V5:W5"/>
    <mergeCell ref="A6:X6"/>
    <mergeCell ref="A7:B7"/>
    <mergeCell ref="C7:E7"/>
    <mergeCell ref="F7:M7"/>
    <mergeCell ref="N7:P7"/>
    <mergeCell ref="Q7:V7"/>
    <mergeCell ref="W7:W9"/>
    <mergeCell ref="X7:X9"/>
    <mergeCell ref="A8:A9"/>
    <mergeCell ref="O8:O9"/>
    <mergeCell ref="B8:B9"/>
    <mergeCell ref="C8:C9"/>
    <mergeCell ref="D8:D9"/>
    <mergeCell ref="E8:E9"/>
    <mergeCell ref="F8:F9"/>
  </mergeCells>
  <pageMargins left="0" right="0" top="0.39370078740157505" bottom="0.39370078740157505" header="0" footer="0"/>
  <pageSetup paperSize="0" fitToWidth="0" fitToHeight="0" pageOrder="overThenDown" horizontalDpi="0" verticalDpi="0" copies="0"/>
  <headerFooter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topLeftCell="A7" workbookViewId="0">
      <selection activeCell="E26" sqref="E26"/>
    </sheetView>
  </sheetViews>
  <sheetFormatPr defaultRowHeight="15" customHeight="1" x14ac:dyDescent="0.2"/>
  <cols>
    <col min="1" max="1" width="8.625" customWidth="1"/>
    <col min="2" max="2" width="10.75" customWidth="1"/>
    <col min="3" max="3" width="44" customWidth="1"/>
    <col min="4" max="4" width="12" customWidth="1"/>
    <col min="5" max="5" width="17.5" customWidth="1"/>
    <col min="6" max="6" width="35.125" customWidth="1"/>
    <col min="7" max="7" width="11.25" customWidth="1"/>
    <col min="8" max="8" width="4.75" customWidth="1"/>
    <col min="9" max="9" width="16.5" customWidth="1"/>
    <col min="10" max="10" width="4" customWidth="1"/>
    <col min="11" max="11" width="16.75" customWidth="1"/>
    <col min="12" max="12" width="12.125" customWidth="1"/>
    <col min="13" max="13" width="12.25" customWidth="1"/>
    <col min="14" max="14" width="14" customWidth="1"/>
    <col min="15" max="15" width="14.25" customWidth="1"/>
    <col min="16" max="1024" width="18" customWidth="1"/>
    <col min="1025" max="1025" width="9" customWidth="1"/>
  </cols>
  <sheetData>
    <row r="1" spans="1:24" ht="14.2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4.2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3.2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40" t="s">
        <v>0</v>
      </c>
      <c r="W5" s="40"/>
      <c r="X5" s="8">
        <v>42979</v>
      </c>
    </row>
    <row r="6" spans="1:24" x14ac:dyDescent="0.25">
      <c r="A6" s="41" t="s">
        <v>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</row>
    <row r="7" spans="1:24" x14ac:dyDescent="0.25">
      <c r="A7" s="41" t="s">
        <v>5</v>
      </c>
      <c r="B7" s="41"/>
      <c r="C7" s="41" t="s">
        <v>6</v>
      </c>
      <c r="D7" s="41"/>
      <c r="E7" s="41"/>
      <c r="F7" s="41" t="s">
        <v>3</v>
      </c>
      <c r="G7" s="41"/>
      <c r="H7" s="41"/>
      <c r="I7" s="41"/>
      <c r="J7" s="41"/>
      <c r="K7" s="41"/>
      <c r="L7" s="41"/>
      <c r="M7" s="41"/>
      <c r="N7" s="41" t="s">
        <v>7</v>
      </c>
      <c r="O7" s="41"/>
      <c r="P7" s="41"/>
      <c r="Q7" s="41" t="s">
        <v>1</v>
      </c>
      <c r="R7" s="41"/>
      <c r="S7" s="41"/>
      <c r="T7" s="41"/>
      <c r="U7" s="41"/>
      <c r="V7" s="41"/>
      <c r="W7" s="41" t="s">
        <v>8</v>
      </c>
      <c r="X7" s="41" t="s">
        <v>9</v>
      </c>
    </row>
    <row r="8" spans="1:24" s="9" customFormat="1" x14ac:dyDescent="0.25">
      <c r="A8" s="39" t="s">
        <v>10</v>
      </c>
      <c r="B8" s="39" t="s">
        <v>11</v>
      </c>
      <c r="C8" s="39" t="s">
        <v>12</v>
      </c>
      <c r="D8" s="39" t="s">
        <v>13</v>
      </c>
      <c r="E8" s="39" t="s">
        <v>14</v>
      </c>
      <c r="F8" s="39" t="s">
        <v>15</v>
      </c>
      <c r="G8" s="39" t="s">
        <v>16</v>
      </c>
      <c r="H8" s="39" t="s">
        <v>17</v>
      </c>
      <c r="I8" s="39"/>
      <c r="J8" s="38" t="s">
        <v>18</v>
      </c>
      <c r="K8" s="38"/>
      <c r="L8" s="39" t="s">
        <v>19</v>
      </c>
      <c r="M8" s="39" t="s">
        <v>20</v>
      </c>
      <c r="N8" s="38" t="s">
        <v>21</v>
      </c>
      <c r="O8" s="38" t="s">
        <v>22</v>
      </c>
      <c r="P8" s="38" t="s">
        <v>23</v>
      </c>
      <c r="Q8" s="38" t="s">
        <v>24</v>
      </c>
      <c r="R8" s="38"/>
      <c r="S8" s="38" t="s">
        <v>25</v>
      </c>
      <c r="T8" s="38"/>
      <c r="U8" s="39" t="s">
        <v>26</v>
      </c>
      <c r="V8" s="38" t="s">
        <v>23</v>
      </c>
      <c r="W8" s="41"/>
      <c r="X8" s="41"/>
    </row>
    <row r="9" spans="1:24" s="9" customFormat="1" x14ac:dyDescent="0.25">
      <c r="A9" s="39"/>
      <c r="B9" s="39"/>
      <c r="C9" s="39"/>
      <c r="D9" s="39"/>
      <c r="E9" s="39"/>
      <c r="F9" s="39"/>
      <c r="G9" s="39"/>
      <c r="H9" s="10" t="s">
        <v>27</v>
      </c>
      <c r="I9" s="10" t="s">
        <v>28</v>
      </c>
      <c r="J9" s="10" t="s">
        <v>27</v>
      </c>
      <c r="K9" s="11" t="s">
        <v>29</v>
      </c>
      <c r="L9" s="39"/>
      <c r="M9" s="39"/>
      <c r="N9" s="38"/>
      <c r="O9" s="38"/>
      <c r="P9" s="38"/>
      <c r="Q9" s="10" t="s">
        <v>2</v>
      </c>
      <c r="R9" s="11" t="s">
        <v>30</v>
      </c>
      <c r="S9" s="10" t="s">
        <v>2</v>
      </c>
      <c r="T9" s="11" t="s">
        <v>30</v>
      </c>
      <c r="U9" s="39"/>
      <c r="V9" s="38"/>
      <c r="W9" s="41"/>
      <c r="X9" s="41"/>
    </row>
    <row r="10" spans="1:24" ht="51" x14ac:dyDescent="0.2">
      <c r="A10" s="27" t="s">
        <v>34</v>
      </c>
      <c r="B10" s="27" t="s">
        <v>91</v>
      </c>
      <c r="C10" s="27" t="s">
        <v>92</v>
      </c>
      <c r="D10" s="29" t="s">
        <v>93</v>
      </c>
      <c r="E10" s="34" t="s">
        <v>126</v>
      </c>
      <c r="F10" s="34" t="s">
        <v>94</v>
      </c>
      <c r="G10" s="30" t="s">
        <v>31</v>
      </c>
      <c r="H10" s="27" t="s">
        <v>32</v>
      </c>
      <c r="I10" s="27" t="s">
        <v>33</v>
      </c>
      <c r="J10" s="27" t="s">
        <v>38</v>
      </c>
      <c r="K10" s="31" t="s">
        <v>39</v>
      </c>
      <c r="L10" s="35">
        <v>42996</v>
      </c>
      <c r="M10" s="35">
        <v>42999</v>
      </c>
      <c r="N10" s="31">
        <f>1065.76/2</f>
        <v>532.88</v>
      </c>
      <c r="O10" s="31">
        <f>1065.76/2</f>
        <v>532.88</v>
      </c>
      <c r="P10" s="31">
        <f t="shared" ref="P10:P26" si="0">N10+O10</f>
        <v>1065.76</v>
      </c>
      <c r="Q10" s="27">
        <v>6</v>
      </c>
      <c r="R10" s="31">
        <v>120</v>
      </c>
      <c r="S10" s="27"/>
      <c r="T10" s="31"/>
      <c r="U10" s="32">
        <f t="shared" ref="U10:U26" si="1">(Q10*R10)+(S10*T10)</f>
        <v>720</v>
      </c>
      <c r="V10" s="31">
        <f t="shared" ref="V10:V26" si="2">P10+U10</f>
        <v>1785.76</v>
      </c>
      <c r="W10" s="31">
        <f t="shared" ref="W10:W26" si="3">V10</f>
        <v>1785.76</v>
      </c>
      <c r="X10" s="28"/>
    </row>
    <row r="11" spans="1:24" ht="38.25" x14ac:dyDescent="0.2">
      <c r="A11" s="27" t="s">
        <v>34</v>
      </c>
      <c r="B11" s="27" t="s">
        <v>77</v>
      </c>
      <c r="C11" s="34" t="s">
        <v>95</v>
      </c>
      <c r="D11" s="29" t="s">
        <v>96</v>
      </c>
      <c r="E11" s="34" t="s">
        <v>127</v>
      </c>
      <c r="F11" s="34" t="s">
        <v>97</v>
      </c>
      <c r="G11" s="30" t="s">
        <v>31</v>
      </c>
      <c r="H11" s="27" t="s">
        <v>32</v>
      </c>
      <c r="I11" s="27" t="s">
        <v>33</v>
      </c>
      <c r="J11" s="27" t="s">
        <v>38</v>
      </c>
      <c r="K11" s="31" t="s">
        <v>39</v>
      </c>
      <c r="L11" s="35">
        <v>42996</v>
      </c>
      <c r="M11" s="35">
        <v>42999</v>
      </c>
      <c r="N11" s="31">
        <f>1065.76/2</f>
        <v>532.88</v>
      </c>
      <c r="O11" s="31">
        <f>1065.76/2</f>
        <v>532.88</v>
      </c>
      <c r="P11" s="31">
        <f t="shared" si="0"/>
        <v>1065.76</v>
      </c>
      <c r="Q11" s="27">
        <v>4</v>
      </c>
      <c r="R11" s="31">
        <v>120</v>
      </c>
      <c r="S11" s="27">
        <v>1</v>
      </c>
      <c r="T11" s="31">
        <v>200</v>
      </c>
      <c r="U11" s="32">
        <f t="shared" si="1"/>
        <v>680</v>
      </c>
      <c r="V11" s="31">
        <f t="shared" si="2"/>
        <v>1745.76</v>
      </c>
      <c r="W11" s="31">
        <f t="shared" si="3"/>
        <v>1745.76</v>
      </c>
      <c r="X11" s="28"/>
    </row>
    <row r="12" spans="1:24" ht="38.25" x14ac:dyDescent="0.2">
      <c r="A12" s="27" t="s">
        <v>34</v>
      </c>
      <c r="B12" s="27" t="s">
        <v>35</v>
      </c>
      <c r="C12" s="27" t="s">
        <v>98</v>
      </c>
      <c r="D12" s="29" t="s">
        <v>99</v>
      </c>
      <c r="E12" s="34" t="s">
        <v>128</v>
      </c>
      <c r="F12" s="34" t="s">
        <v>100</v>
      </c>
      <c r="G12" s="30" t="s">
        <v>31</v>
      </c>
      <c r="H12" s="27" t="s">
        <v>32</v>
      </c>
      <c r="I12" s="27" t="s">
        <v>33</v>
      </c>
      <c r="J12" s="27" t="s">
        <v>102</v>
      </c>
      <c r="K12" s="31" t="s">
        <v>101</v>
      </c>
      <c r="L12" s="35">
        <v>42996</v>
      </c>
      <c r="M12" s="35">
        <v>42999</v>
      </c>
      <c r="N12" s="31">
        <f>930.64/2</f>
        <v>465.32</v>
      </c>
      <c r="O12" s="31">
        <f>930.64/2</f>
        <v>465.32</v>
      </c>
      <c r="P12" s="31">
        <f t="shared" si="0"/>
        <v>930.64</v>
      </c>
      <c r="Q12" s="27">
        <v>4</v>
      </c>
      <c r="R12" s="31">
        <v>120</v>
      </c>
      <c r="S12" s="36"/>
      <c r="T12" s="31"/>
      <c r="U12" s="32">
        <f t="shared" si="1"/>
        <v>480</v>
      </c>
      <c r="V12" s="31">
        <f t="shared" si="2"/>
        <v>1410.6399999999999</v>
      </c>
      <c r="W12" s="31">
        <f t="shared" si="3"/>
        <v>1410.6399999999999</v>
      </c>
      <c r="X12" s="33"/>
    </row>
    <row r="13" spans="1:24" ht="25.5" x14ac:dyDescent="0.2">
      <c r="A13" s="27" t="s">
        <v>103</v>
      </c>
      <c r="B13" s="27" t="s">
        <v>49</v>
      </c>
      <c r="C13" s="27" t="s">
        <v>80</v>
      </c>
      <c r="D13" s="29" t="s">
        <v>104</v>
      </c>
      <c r="E13" s="20" t="s">
        <v>90</v>
      </c>
      <c r="F13" s="34" t="s">
        <v>105</v>
      </c>
      <c r="G13" s="30" t="s">
        <v>31</v>
      </c>
      <c r="H13" s="27" t="s">
        <v>32</v>
      </c>
      <c r="I13" s="27" t="s">
        <v>33</v>
      </c>
      <c r="J13" s="27" t="s">
        <v>106</v>
      </c>
      <c r="K13" s="31" t="s">
        <v>107</v>
      </c>
      <c r="L13" s="35">
        <v>42991</v>
      </c>
      <c r="M13" s="35">
        <v>42992</v>
      </c>
      <c r="N13" s="31">
        <f>1597.07/2</f>
        <v>798.53499999999997</v>
      </c>
      <c r="O13" s="31">
        <f>1597.07/2</f>
        <v>798.53499999999997</v>
      </c>
      <c r="P13" s="31">
        <f t="shared" si="0"/>
        <v>1597.07</v>
      </c>
      <c r="Q13" s="27">
        <v>0</v>
      </c>
      <c r="R13" s="31"/>
      <c r="S13" s="36">
        <v>0</v>
      </c>
      <c r="T13" s="31"/>
      <c r="U13" s="32">
        <f t="shared" si="1"/>
        <v>0</v>
      </c>
      <c r="V13" s="31">
        <f t="shared" si="2"/>
        <v>1597.07</v>
      </c>
      <c r="W13" s="31">
        <f t="shared" si="3"/>
        <v>1597.07</v>
      </c>
      <c r="X13" s="33"/>
    </row>
    <row r="14" spans="1:24" ht="25.5" x14ac:dyDescent="0.2">
      <c r="A14" s="27" t="s">
        <v>103</v>
      </c>
      <c r="B14" s="27" t="s">
        <v>50</v>
      </c>
      <c r="C14" s="27" t="s">
        <v>48</v>
      </c>
      <c r="D14" s="29" t="s">
        <v>81</v>
      </c>
      <c r="E14" s="20" t="s">
        <v>56</v>
      </c>
      <c r="F14" s="34" t="s">
        <v>105</v>
      </c>
      <c r="G14" s="30" t="s">
        <v>31</v>
      </c>
      <c r="H14" s="27" t="s">
        <v>32</v>
      </c>
      <c r="I14" s="27" t="s">
        <v>33</v>
      </c>
      <c r="J14" s="27" t="s">
        <v>106</v>
      </c>
      <c r="K14" s="31" t="s">
        <v>107</v>
      </c>
      <c r="L14" s="35">
        <v>42991</v>
      </c>
      <c r="M14" s="35">
        <v>42992</v>
      </c>
      <c r="N14" s="31">
        <f>1597.07/2</f>
        <v>798.53499999999997</v>
      </c>
      <c r="O14" s="31">
        <f>1597.07/2</f>
        <v>798.53499999999997</v>
      </c>
      <c r="P14" s="31">
        <f t="shared" si="0"/>
        <v>1597.07</v>
      </c>
      <c r="Q14" s="27">
        <v>4</v>
      </c>
      <c r="R14" s="31">
        <v>120</v>
      </c>
      <c r="S14" s="36"/>
      <c r="T14" s="31"/>
      <c r="U14" s="32">
        <f t="shared" si="1"/>
        <v>480</v>
      </c>
      <c r="V14" s="31">
        <f t="shared" si="2"/>
        <v>2077.0699999999997</v>
      </c>
      <c r="W14" s="31">
        <f t="shared" si="3"/>
        <v>2077.0699999999997</v>
      </c>
      <c r="X14" s="33"/>
    </row>
    <row r="15" spans="1:24" ht="38.25" x14ac:dyDescent="0.2">
      <c r="A15" s="27" t="s">
        <v>34</v>
      </c>
      <c r="B15" s="27" t="s">
        <v>109</v>
      </c>
      <c r="C15" s="27" t="s">
        <v>108</v>
      </c>
      <c r="D15" s="29" t="s">
        <v>110</v>
      </c>
      <c r="E15" s="34" t="s">
        <v>129</v>
      </c>
      <c r="F15" s="34" t="s">
        <v>113</v>
      </c>
      <c r="G15" s="30" t="s">
        <v>31</v>
      </c>
      <c r="H15" s="27" t="s">
        <v>32</v>
      </c>
      <c r="I15" s="27" t="s">
        <v>33</v>
      </c>
      <c r="J15" s="27" t="s">
        <v>111</v>
      </c>
      <c r="K15" s="31" t="s">
        <v>112</v>
      </c>
      <c r="L15" s="35">
        <v>42995</v>
      </c>
      <c r="M15" s="35">
        <v>43000</v>
      </c>
      <c r="N15" s="31">
        <f>701.32/2</f>
        <v>350.66</v>
      </c>
      <c r="O15" s="31">
        <f>701.32/2</f>
        <v>350.66</v>
      </c>
      <c r="P15" s="31">
        <f t="shared" si="0"/>
        <v>701.32</v>
      </c>
      <c r="Q15" s="27">
        <v>6</v>
      </c>
      <c r="R15" s="31">
        <v>120</v>
      </c>
      <c r="S15" s="36">
        <v>3</v>
      </c>
      <c r="T15" s="31">
        <v>100</v>
      </c>
      <c r="U15" s="32">
        <f t="shared" si="1"/>
        <v>1020</v>
      </c>
      <c r="V15" s="31">
        <f t="shared" si="2"/>
        <v>1721.3200000000002</v>
      </c>
      <c r="W15" s="31">
        <f t="shared" si="3"/>
        <v>1721.3200000000002</v>
      </c>
      <c r="X15" s="33"/>
    </row>
    <row r="16" spans="1:24" ht="25.5" x14ac:dyDescent="0.2">
      <c r="A16" s="27" t="s">
        <v>34</v>
      </c>
      <c r="B16" s="27" t="s">
        <v>34</v>
      </c>
      <c r="C16" s="27" t="s">
        <v>46</v>
      </c>
      <c r="D16" s="29" t="s">
        <v>104</v>
      </c>
      <c r="E16" s="20" t="s">
        <v>55</v>
      </c>
      <c r="F16" s="34" t="s">
        <v>83</v>
      </c>
      <c r="G16" s="30" t="s">
        <v>31</v>
      </c>
      <c r="H16" s="27" t="s">
        <v>32</v>
      </c>
      <c r="I16" s="27" t="s">
        <v>33</v>
      </c>
      <c r="J16" s="27" t="s">
        <v>38</v>
      </c>
      <c r="K16" s="31" t="s">
        <v>39</v>
      </c>
      <c r="L16" s="35">
        <v>43006</v>
      </c>
      <c r="M16" s="35">
        <v>43007</v>
      </c>
      <c r="N16" s="31">
        <f>1670.59/2</f>
        <v>835.29499999999996</v>
      </c>
      <c r="O16" s="31">
        <f>1670.59/2</f>
        <v>835.29499999999996</v>
      </c>
      <c r="P16" s="31">
        <f t="shared" si="0"/>
        <v>1670.59</v>
      </c>
      <c r="Q16" s="27">
        <v>0</v>
      </c>
      <c r="R16" s="31"/>
      <c r="S16" s="36">
        <v>0</v>
      </c>
      <c r="T16" s="31"/>
      <c r="U16" s="32">
        <f t="shared" si="1"/>
        <v>0</v>
      </c>
      <c r="V16" s="31">
        <f t="shared" si="2"/>
        <v>1670.59</v>
      </c>
      <c r="W16" s="31">
        <f t="shared" si="3"/>
        <v>1670.59</v>
      </c>
      <c r="X16" s="33"/>
    </row>
    <row r="17" spans="1:24" ht="38.25" x14ac:dyDescent="0.2">
      <c r="A17" s="27" t="s">
        <v>103</v>
      </c>
      <c r="B17" s="27" t="s">
        <v>65</v>
      </c>
      <c r="C17" s="27" t="s">
        <v>114</v>
      </c>
      <c r="D17" s="29" t="s">
        <v>115</v>
      </c>
      <c r="E17" s="34" t="s">
        <v>130</v>
      </c>
      <c r="F17" s="34" t="s">
        <v>116</v>
      </c>
      <c r="G17" s="30" t="s">
        <v>31</v>
      </c>
      <c r="H17" s="27" t="s">
        <v>32</v>
      </c>
      <c r="I17" s="27" t="s">
        <v>33</v>
      </c>
      <c r="J17" s="27" t="s">
        <v>38</v>
      </c>
      <c r="K17" s="31" t="s">
        <v>39</v>
      </c>
      <c r="L17" s="35">
        <v>42996</v>
      </c>
      <c r="M17" s="35">
        <v>43000</v>
      </c>
      <c r="N17" s="31">
        <f>918.1/2</f>
        <v>459.05</v>
      </c>
      <c r="O17" s="31">
        <f>918.1/2</f>
        <v>459.05</v>
      </c>
      <c r="P17" s="31">
        <f t="shared" si="0"/>
        <v>918.1</v>
      </c>
      <c r="Q17" s="27">
        <v>5</v>
      </c>
      <c r="R17" s="31">
        <v>120</v>
      </c>
      <c r="S17" s="36"/>
      <c r="T17" s="31"/>
      <c r="U17" s="32">
        <f t="shared" si="1"/>
        <v>600</v>
      </c>
      <c r="V17" s="31">
        <f t="shared" si="2"/>
        <v>1518.1</v>
      </c>
      <c r="W17" s="31">
        <f t="shared" si="3"/>
        <v>1518.1</v>
      </c>
      <c r="X17" s="33"/>
    </row>
    <row r="18" spans="1:24" ht="25.5" x14ac:dyDescent="0.2">
      <c r="A18" s="27" t="s">
        <v>103</v>
      </c>
      <c r="B18" s="27" t="s">
        <v>49</v>
      </c>
      <c r="C18" s="27" t="s">
        <v>80</v>
      </c>
      <c r="D18" s="29" t="s">
        <v>104</v>
      </c>
      <c r="E18" s="20" t="s">
        <v>90</v>
      </c>
      <c r="F18" s="34" t="s">
        <v>117</v>
      </c>
      <c r="G18" s="30" t="s">
        <v>31</v>
      </c>
      <c r="H18" s="27" t="s">
        <v>32</v>
      </c>
      <c r="I18" s="27" t="s">
        <v>33</v>
      </c>
      <c r="J18" s="27" t="s">
        <v>111</v>
      </c>
      <c r="K18" s="31" t="s">
        <v>112</v>
      </c>
      <c r="L18" s="35">
        <v>42997</v>
      </c>
      <c r="M18" s="35">
        <v>42997</v>
      </c>
      <c r="N18" s="31">
        <f>620.21/2</f>
        <v>310.10500000000002</v>
      </c>
      <c r="O18" s="31">
        <f>620.21/2</f>
        <v>310.10500000000002</v>
      </c>
      <c r="P18" s="31">
        <f t="shared" si="0"/>
        <v>620.21</v>
      </c>
      <c r="Q18" s="27">
        <v>0</v>
      </c>
      <c r="R18" s="31"/>
      <c r="S18" s="36">
        <v>0</v>
      </c>
      <c r="T18" s="31"/>
      <c r="U18" s="32">
        <f t="shared" si="1"/>
        <v>0</v>
      </c>
      <c r="V18" s="31">
        <f t="shared" si="2"/>
        <v>620.21</v>
      </c>
      <c r="W18" s="31">
        <f t="shared" si="3"/>
        <v>620.21</v>
      </c>
      <c r="X18" s="33"/>
    </row>
    <row r="19" spans="1:24" ht="25.5" x14ac:dyDescent="0.2">
      <c r="A19" s="27" t="s">
        <v>103</v>
      </c>
      <c r="B19" s="27" t="s">
        <v>50</v>
      </c>
      <c r="C19" s="27" t="s">
        <v>48</v>
      </c>
      <c r="D19" s="29" t="s">
        <v>81</v>
      </c>
      <c r="E19" s="20" t="s">
        <v>56</v>
      </c>
      <c r="F19" s="34" t="s">
        <v>117</v>
      </c>
      <c r="G19" s="30" t="s">
        <v>31</v>
      </c>
      <c r="H19" s="27" t="s">
        <v>32</v>
      </c>
      <c r="I19" s="27" t="s">
        <v>33</v>
      </c>
      <c r="J19" s="27" t="s">
        <v>111</v>
      </c>
      <c r="K19" s="31" t="s">
        <v>112</v>
      </c>
      <c r="L19" s="35">
        <v>42997</v>
      </c>
      <c r="M19" s="35">
        <v>42997</v>
      </c>
      <c r="N19" s="31">
        <f>620.21/2</f>
        <v>310.10500000000002</v>
      </c>
      <c r="O19" s="31">
        <f>620.21/2</f>
        <v>310.10500000000002</v>
      </c>
      <c r="P19" s="31">
        <f t="shared" si="0"/>
        <v>620.21</v>
      </c>
      <c r="Q19" s="27">
        <v>3</v>
      </c>
      <c r="R19" s="31">
        <v>120</v>
      </c>
      <c r="S19" s="36"/>
      <c r="T19" s="31"/>
      <c r="U19" s="32">
        <f t="shared" si="1"/>
        <v>360</v>
      </c>
      <c r="V19" s="31">
        <f t="shared" si="2"/>
        <v>980.21</v>
      </c>
      <c r="W19" s="31">
        <f t="shared" si="3"/>
        <v>980.21</v>
      </c>
      <c r="X19" s="33"/>
    </row>
    <row r="20" spans="1:24" ht="25.5" x14ac:dyDescent="0.2">
      <c r="A20" s="27" t="s">
        <v>103</v>
      </c>
      <c r="B20" s="27" t="s">
        <v>49</v>
      </c>
      <c r="C20" s="27" t="s">
        <v>80</v>
      </c>
      <c r="D20" s="29" t="s">
        <v>104</v>
      </c>
      <c r="E20" s="20" t="s">
        <v>90</v>
      </c>
      <c r="F20" s="34" t="s">
        <v>83</v>
      </c>
      <c r="G20" s="30" t="s">
        <v>31</v>
      </c>
      <c r="H20" s="27" t="s">
        <v>32</v>
      </c>
      <c r="I20" s="27" t="s">
        <v>33</v>
      </c>
      <c r="J20" s="27" t="s">
        <v>38</v>
      </c>
      <c r="K20" s="31" t="s">
        <v>39</v>
      </c>
      <c r="L20" s="35">
        <v>43000</v>
      </c>
      <c r="M20" s="35">
        <v>43000</v>
      </c>
      <c r="N20" s="31">
        <f>1146.13/2</f>
        <v>573.06500000000005</v>
      </c>
      <c r="O20" s="31">
        <f>1146.13/2</f>
        <v>573.06500000000005</v>
      </c>
      <c r="P20" s="31">
        <f t="shared" si="0"/>
        <v>1146.1300000000001</v>
      </c>
      <c r="Q20" s="27">
        <v>0</v>
      </c>
      <c r="R20" s="31"/>
      <c r="S20" s="36">
        <v>0</v>
      </c>
      <c r="T20" s="31"/>
      <c r="U20" s="32">
        <f t="shared" si="1"/>
        <v>0</v>
      </c>
      <c r="V20" s="31">
        <f t="shared" si="2"/>
        <v>1146.1300000000001</v>
      </c>
      <c r="W20" s="31">
        <f t="shared" si="3"/>
        <v>1146.1300000000001</v>
      </c>
      <c r="X20" s="33"/>
    </row>
    <row r="21" spans="1:24" ht="25.5" x14ac:dyDescent="0.2">
      <c r="A21" s="27" t="s">
        <v>103</v>
      </c>
      <c r="B21" s="27" t="s">
        <v>50</v>
      </c>
      <c r="C21" s="27" t="s">
        <v>48</v>
      </c>
      <c r="D21" s="29" t="s">
        <v>81</v>
      </c>
      <c r="E21" s="20" t="s">
        <v>56</v>
      </c>
      <c r="F21" s="34" t="s">
        <v>83</v>
      </c>
      <c r="G21" s="30" t="s">
        <v>31</v>
      </c>
      <c r="H21" s="27" t="s">
        <v>32</v>
      </c>
      <c r="I21" s="27" t="s">
        <v>33</v>
      </c>
      <c r="J21" s="27" t="s">
        <v>38</v>
      </c>
      <c r="K21" s="31" t="s">
        <v>39</v>
      </c>
      <c r="L21" s="35">
        <v>43000</v>
      </c>
      <c r="M21" s="35">
        <v>43000</v>
      </c>
      <c r="N21" s="31">
        <f>1146.13/2</f>
        <v>573.06500000000005</v>
      </c>
      <c r="O21" s="31">
        <f>1146.13/2</f>
        <v>573.06500000000005</v>
      </c>
      <c r="P21" s="31">
        <f t="shared" si="0"/>
        <v>1146.1300000000001</v>
      </c>
      <c r="Q21" s="27">
        <v>3</v>
      </c>
      <c r="R21" s="31">
        <v>120</v>
      </c>
      <c r="S21" s="36"/>
      <c r="T21" s="31"/>
      <c r="U21" s="32">
        <f t="shared" si="1"/>
        <v>360</v>
      </c>
      <c r="V21" s="31">
        <f t="shared" si="2"/>
        <v>1506.13</v>
      </c>
      <c r="W21" s="31">
        <f t="shared" si="3"/>
        <v>1506.13</v>
      </c>
      <c r="X21" s="33"/>
    </row>
    <row r="22" spans="1:24" ht="25.5" x14ac:dyDescent="0.2">
      <c r="A22" s="27" t="s">
        <v>34</v>
      </c>
      <c r="B22" s="27" t="s">
        <v>34</v>
      </c>
      <c r="C22" s="27" t="s">
        <v>118</v>
      </c>
      <c r="D22" s="29" t="s">
        <v>119</v>
      </c>
      <c r="E22" s="34" t="s">
        <v>131</v>
      </c>
      <c r="F22" s="34" t="s">
        <v>120</v>
      </c>
      <c r="G22" s="30" t="s">
        <v>31</v>
      </c>
      <c r="H22" s="27" t="s">
        <v>32</v>
      </c>
      <c r="I22" s="27" t="s">
        <v>33</v>
      </c>
      <c r="J22" s="27" t="s">
        <v>121</v>
      </c>
      <c r="K22" s="31" t="s">
        <v>62</v>
      </c>
      <c r="L22" s="35">
        <v>42998</v>
      </c>
      <c r="M22" s="35">
        <v>42999</v>
      </c>
      <c r="N22" s="31">
        <f>1918.58/2</f>
        <v>959.29</v>
      </c>
      <c r="O22" s="31">
        <f>1918.58/2</f>
        <v>959.29</v>
      </c>
      <c r="P22" s="31">
        <f t="shared" si="0"/>
        <v>1918.58</v>
      </c>
      <c r="Q22" s="27">
        <v>2</v>
      </c>
      <c r="R22" s="31">
        <v>120</v>
      </c>
      <c r="S22" s="36"/>
      <c r="T22" s="31"/>
      <c r="U22" s="32">
        <f t="shared" si="1"/>
        <v>240</v>
      </c>
      <c r="V22" s="31">
        <f t="shared" si="2"/>
        <v>2158.58</v>
      </c>
      <c r="W22" s="31">
        <f t="shared" si="3"/>
        <v>2158.58</v>
      </c>
      <c r="X22" s="33"/>
    </row>
    <row r="23" spans="1:24" ht="25.5" x14ac:dyDescent="0.2">
      <c r="A23" s="27" t="s">
        <v>103</v>
      </c>
      <c r="B23" s="27" t="s">
        <v>49</v>
      </c>
      <c r="C23" s="27" t="s">
        <v>80</v>
      </c>
      <c r="D23" s="29" t="s">
        <v>104</v>
      </c>
      <c r="E23" s="20" t="s">
        <v>90</v>
      </c>
      <c r="F23" s="34" t="s">
        <v>122</v>
      </c>
      <c r="G23" s="30" t="s">
        <v>31</v>
      </c>
      <c r="H23" s="27" t="s">
        <v>32</v>
      </c>
      <c r="I23" s="27" t="s">
        <v>33</v>
      </c>
      <c r="J23" s="27" t="s">
        <v>121</v>
      </c>
      <c r="K23" s="31" t="s">
        <v>62</v>
      </c>
      <c r="L23" s="35">
        <v>43003</v>
      </c>
      <c r="M23" s="35">
        <v>43003</v>
      </c>
      <c r="N23" s="31">
        <f>1855.88/2</f>
        <v>927.94</v>
      </c>
      <c r="O23" s="31">
        <f>1855.88/2</f>
        <v>927.94</v>
      </c>
      <c r="P23" s="31">
        <f t="shared" si="0"/>
        <v>1855.88</v>
      </c>
      <c r="Q23" s="27">
        <v>0</v>
      </c>
      <c r="R23" s="31"/>
      <c r="S23" s="36">
        <v>0</v>
      </c>
      <c r="T23" s="31"/>
      <c r="U23" s="32">
        <f t="shared" si="1"/>
        <v>0</v>
      </c>
      <c r="V23" s="31">
        <f t="shared" si="2"/>
        <v>1855.88</v>
      </c>
      <c r="W23" s="31">
        <f t="shared" si="3"/>
        <v>1855.88</v>
      </c>
      <c r="X23" s="33"/>
    </row>
    <row r="24" spans="1:24" ht="25.5" x14ac:dyDescent="0.2">
      <c r="A24" s="27" t="s">
        <v>103</v>
      </c>
      <c r="B24" s="27" t="s">
        <v>50</v>
      </c>
      <c r="C24" s="27" t="s">
        <v>48</v>
      </c>
      <c r="D24" s="29" t="s">
        <v>81</v>
      </c>
      <c r="E24" s="20" t="s">
        <v>56</v>
      </c>
      <c r="F24" s="34" t="s">
        <v>122</v>
      </c>
      <c r="G24" s="30" t="s">
        <v>31</v>
      </c>
      <c r="H24" s="27" t="s">
        <v>32</v>
      </c>
      <c r="I24" s="27" t="s">
        <v>33</v>
      </c>
      <c r="J24" s="27" t="s">
        <v>121</v>
      </c>
      <c r="K24" s="31" t="s">
        <v>62</v>
      </c>
      <c r="L24" s="35">
        <v>43003</v>
      </c>
      <c r="M24" s="35">
        <v>43003</v>
      </c>
      <c r="N24" s="31">
        <f>1855.88/2</f>
        <v>927.94</v>
      </c>
      <c r="O24" s="31">
        <f>1855.88/2</f>
        <v>927.94</v>
      </c>
      <c r="P24" s="31">
        <f t="shared" si="0"/>
        <v>1855.88</v>
      </c>
      <c r="Q24" s="27">
        <v>3</v>
      </c>
      <c r="R24" s="31">
        <v>120</v>
      </c>
      <c r="S24" s="36"/>
      <c r="T24" s="31"/>
      <c r="U24" s="32">
        <f t="shared" si="1"/>
        <v>360</v>
      </c>
      <c r="V24" s="31">
        <f t="shared" si="2"/>
        <v>2215.88</v>
      </c>
      <c r="W24" s="31">
        <f t="shared" si="3"/>
        <v>2215.88</v>
      </c>
      <c r="X24" s="33"/>
    </row>
    <row r="25" spans="1:24" ht="38.25" x14ac:dyDescent="0.2">
      <c r="A25" s="27" t="s">
        <v>44</v>
      </c>
      <c r="B25" s="27" t="s">
        <v>44</v>
      </c>
      <c r="C25" s="27" t="s">
        <v>75</v>
      </c>
      <c r="D25" s="29" t="s">
        <v>104</v>
      </c>
      <c r="E25" s="20" t="s">
        <v>88</v>
      </c>
      <c r="F25" s="34" t="s">
        <v>122</v>
      </c>
      <c r="G25" s="30" t="s">
        <v>31</v>
      </c>
      <c r="H25" s="27" t="s">
        <v>111</v>
      </c>
      <c r="I25" s="31" t="s">
        <v>112</v>
      </c>
      <c r="J25" s="27" t="s">
        <v>121</v>
      </c>
      <c r="K25" s="31" t="s">
        <v>62</v>
      </c>
      <c r="L25" s="35">
        <v>43003</v>
      </c>
      <c r="M25" s="35">
        <v>43003</v>
      </c>
      <c r="N25" s="31">
        <f>908.69/2</f>
        <v>454.34500000000003</v>
      </c>
      <c r="O25" s="31">
        <f>908.69/2</f>
        <v>454.34500000000003</v>
      </c>
      <c r="P25" s="31">
        <f t="shared" si="0"/>
        <v>908.69</v>
      </c>
      <c r="Q25" s="27">
        <v>0</v>
      </c>
      <c r="R25" s="31"/>
      <c r="S25" s="36">
        <v>0</v>
      </c>
      <c r="T25" s="31"/>
      <c r="U25" s="32">
        <f t="shared" si="1"/>
        <v>0</v>
      </c>
      <c r="V25" s="31">
        <f t="shared" si="2"/>
        <v>908.69</v>
      </c>
      <c r="W25" s="31">
        <f t="shared" si="3"/>
        <v>908.69</v>
      </c>
      <c r="X25" s="33"/>
    </row>
    <row r="26" spans="1:24" ht="25.5" x14ac:dyDescent="0.2">
      <c r="A26" s="27" t="s">
        <v>44</v>
      </c>
      <c r="B26" s="27" t="s">
        <v>125</v>
      </c>
      <c r="C26" s="27" t="s">
        <v>123</v>
      </c>
      <c r="D26" s="29" t="s">
        <v>124</v>
      </c>
      <c r="E26" s="34" t="s">
        <v>132</v>
      </c>
      <c r="F26" s="34" t="s">
        <v>120</v>
      </c>
      <c r="G26" s="30" t="s">
        <v>31</v>
      </c>
      <c r="H26" s="27" t="s">
        <v>32</v>
      </c>
      <c r="I26" s="27" t="s">
        <v>33</v>
      </c>
      <c r="J26" s="27" t="s">
        <v>121</v>
      </c>
      <c r="K26" s="31" t="s">
        <v>62</v>
      </c>
      <c r="L26" s="35">
        <v>42996</v>
      </c>
      <c r="M26" s="35">
        <v>43000</v>
      </c>
      <c r="N26" s="31">
        <f>1009.15/2</f>
        <v>504.57499999999999</v>
      </c>
      <c r="O26" s="31">
        <f>1009.15/2</f>
        <v>504.57499999999999</v>
      </c>
      <c r="P26" s="31">
        <f t="shared" si="0"/>
        <v>1009.15</v>
      </c>
      <c r="Q26" s="27">
        <v>3</v>
      </c>
      <c r="R26" s="31">
        <v>120</v>
      </c>
      <c r="S26" s="36"/>
      <c r="T26" s="31"/>
      <c r="U26" s="32">
        <f t="shared" si="1"/>
        <v>360</v>
      </c>
      <c r="V26" s="31">
        <f t="shared" si="2"/>
        <v>1369.15</v>
      </c>
      <c r="W26" s="31">
        <f t="shared" si="3"/>
        <v>1369.15</v>
      </c>
      <c r="X26" s="33"/>
    </row>
  </sheetData>
  <mergeCells count="27">
    <mergeCell ref="V5:W5"/>
    <mergeCell ref="A6:X6"/>
    <mergeCell ref="A7:B7"/>
    <mergeCell ref="C7:E7"/>
    <mergeCell ref="F7:M7"/>
    <mergeCell ref="N7:P7"/>
    <mergeCell ref="Q7:V7"/>
    <mergeCell ref="W7:W9"/>
    <mergeCell ref="X7:X9"/>
    <mergeCell ref="A8:A9"/>
    <mergeCell ref="O8:O9"/>
    <mergeCell ref="B8:B9"/>
    <mergeCell ref="C8:C9"/>
    <mergeCell ref="D8:D9"/>
    <mergeCell ref="E8:E9"/>
    <mergeCell ref="F8:F9"/>
    <mergeCell ref="G8:G9"/>
    <mergeCell ref="H8:I8"/>
    <mergeCell ref="J8:K8"/>
    <mergeCell ref="L8:L9"/>
    <mergeCell ref="M8:M9"/>
    <mergeCell ref="V8:V9"/>
    <mergeCell ref="N8:N9"/>
    <mergeCell ref="P8:P9"/>
    <mergeCell ref="Q8:R8"/>
    <mergeCell ref="S8:T8"/>
    <mergeCell ref="U8:U9"/>
  </mergeCells>
  <pageMargins left="0" right="0" top="0.39370078740157505" bottom="0.39370078740157505" header="0" footer="0"/>
  <pageSetup paperSize="0" fitToWidth="0" fitToHeight="0" pageOrder="overThenDown" horizontalDpi="0" verticalDpi="0" copies="0"/>
  <headerFooter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opLeftCell="A4" workbookViewId="0">
      <selection activeCell="D11" sqref="D11:E11"/>
    </sheetView>
  </sheetViews>
  <sheetFormatPr defaultRowHeight="15" customHeight="1" x14ac:dyDescent="0.2"/>
  <cols>
    <col min="1" max="1" width="8.625" customWidth="1"/>
    <col min="2" max="2" width="10.75" customWidth="1"/>
    <col min="3" max="3" width="44" customWidth="1"/>
    <col min="4" max="4" width="12" customWidth="1"/>
    <col min="5" max="5" width="17.5" customWidth="1"/>
    <col min="6" max="6" width="35.125" customWidth="1"/>
    <col min="7" max="7" width="11.25" customWidth="1"/>
    <col min="8" max="8" width="4.75" customWidth="1"/>
    <col min="9" max="9" width="16.5" customWidth="1"/>
    <col min="10" max="10" width="4" customWidth="1"/>
    <col min="11" max="11" width="16.75" customWidth="1"/>
    <col min="12" max="12" width="12.125" customWidth="1"/>
    <col min="13" max="13" width="12.25" customWidth="1"/>
    <col min="14" max="14" width="14" customWidth="1"/>
    <col min="15" max="15" width="14.25" customWidth="1"/>
    <col min="16" max="1024" width="18" customWidth="1"/>
    <col min="1025" max="1025" width="9" customWidth="1"/>
  </cols>
  <sheetData>
    <row r="1" spans="1:24" ht="14.2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4.2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3.2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40" t="s">
        <v>0</v>
      </c>
      <c r="W5" s="40"/>
      <c r="X5" s="8">
        <v>43009</v>
      </c>
    </row>
    <row r="6" spans="1:24" x14ac:dyDescent="0.25">
      <c r="A6" s="41" t="s">
        <v>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</row>
    <row r="7" spans="1:24" x14ac:dyDescent="0.25">
      <c r="A7" s="41" t="s">
        <v>5</v>
      </c>
      <c r="B7" s="41"/>
      <c r="C7" s="41" t="s">
        <v>6</v>
      </c>
      <c r="D7" s="41"/>
      <c r="E7" s="41"/>
      <c r="F7" s="41" t="s">
        <v>3</v>
      </c>
      <c r="G7" s="41"/>
      <c r="H7" s="41"/>
      <c r="I7" s="41"/>
      <c r="J7" s="41"/>
      <c r="K7" s="41"/>
      <c r="L7" s="41"/>
      <c r="M7" s="41"/>
      <c r="N7" s="41" t="s">
        <v>7</v>
      </c>
      <c r="O7" s="41"/>
      <c r="P7" s="41"/>
      <c r="Q7" s="41" t="s">
        <v>1</v>
      </c>
      <c r="R7" s="41"/>
      <c r="S7" s="41"/>
      <c r="T7" s="41"/>
      <c r="U7" s="41"/>
      <c r="V7" s="41"/>
      <c r="W7" s="41" t="s">
        <v>8</v>
      </c>
      <c r="X7" s="41" t="s">
        <v>9</v>
      </c>
    </row>
    <row r="8" spans="1:24" s="9" customFormat="1" x14ac:dyDescent="0.25">
      <c r="A8" s="39" t="s">
        <v>10</v>
      </c>
      <c r="B8" s="39" t="s">
        <v>11</v>
      </c>
      <c r="C8" s="39" t="s">
        <v>12</v>
      </c>
      <c r="D8" s="39" t="s">
        <v>13</v>
      </c>
      <c r="E8" s="39" t="s">
        <v>14</v>
      </c>
      <c r="F8" s="39" t="s">
        <v>15</v>
      </c>
      <c r="G8" s="39" t="s">
        <v>16</v>
      </c>
      <c r="H8" s="39" t="s">
        <v>17</v>
      </c>
      <c r="I8" s="39"/>
      <c r="J8" s="38" t="s">
        <v>18</v>
      </c>
      <c r="K8" s="38"/>
      <c r="L8" s="39" t="s">
        <v>19</v>
      </c>
      <c r="M8" s="39" t="s">
        <v>20</v>
      </c>
      <c r="N8" s="38" t="s">
        <v>21</v>
      </c>
      <c r="O8" s="38" t="s">
        <v>22</v>
      </c>
      <c r="P8" s="38" t="s">
        <v>23</v>
      </c>
      <c r="Q8" s="38" t="s">
        <v>24</v>
      </c>
      <c r="R8" s="38"/>
      <c r="S8" s="38" t="s">
        <v>25</v>
      </c>
      <c r="T8" s="38"/>
      <c r="U8" s="39" t="s">
        <v>26</v>
      </c>
      <c r="V8" s="38" t="s">
        <v>23</v>
      </c>
      <c r="W8" s="41"/>
      <c r="X8" s="41"/>
    </row>
    <row r="9" spans="1:24" s="9" customFormat="1" x14ac:dyDescent="0.25">
      <c r="A9" s="39"/>
      <c r="B9" s="39"/>
      <c r="C9" s="39"/>
      <c r="D9" s="39"/>
      <c r="E9" s="39"/>
      <c r="F9" s="39"/>
      <c r="G9" s="39"/>
      <c r="H9" s="10" t="s">
        <v>27</v>
      </c>
      <c r="I9" s="10" t="s">
        <v>28</v>
      </c>
      <c r="J9" s="10" t="s">
        <v>27</v>
      </c>
      <c r="K9" s="11" t="s">
        <v>29</v>
      </c>
      <c r="L9" s="39"/>
      <c r="M9" s="39"/>
      <c r="N9" s="38"/>
      <c r="O9" s="38"/>
      <c r="P9" s="38"/>
      <c r="Q9" s="10" t="s">
        <v>2</v>
      </c>
      <c r="R9" s="11" t="s">
        <v>30</v>
      </c>
      <c r="S9" s="10" t="s">
        <v>2</v>
      </c>
      <c r="T9" s="11" t="s">
        <v>30</v>
      </c>
      <c r="U9" s="39"/>
      <c r="V9" s="38"/>
      <c r="W9" s="41"/>
      <c r="X9" s="41"/>
    </row>
    <row r="10" spans="1:24" ht="25.5" x14ac:dyDescent="0.2">
      <c r="A10" s="27" t="s">
        <v>44</v>
      </c>
      <c r="B10" s="27" t="s">
        <v>138</v>
      </c>
      <c r="C10" s="34" t="s">
        <v>133</v>
      </c>
      <c r="D10" s="29" t="s">
        <v>148</v>
      </c>
      <c r="E10" s="34" t="s">
        <v>84</v>
      </c>
      <c r="F10" s="34" t="s">
        <v>141</v>
      </c>
      <c r="G10" s="30" t="s">
        <v>31</v>
      </c>
      <c r="H10" s="27" t="s">
        <v>32</v>
      </c>
      <c r="I10" s="27" t="s">
        <v>33</v>
      </c>
      <c r="J10" s="27" t="s">
        <v>38</v>
      </c>
      <c r="K10" s="31" t="s">
        <v>39</v>
      </c>
      <c r="L10" s="35">
        <v>43017</v>
      </c>
      <c r="M10" s="35">
        <v>43018</v>
      </c>
      <c r="N10" s="31">
        <f>675.11/2</f>
        <v>337.55500000000001</v>
      </c>
      <c r="O10" s="31">
        <f>675.11/2</f>
        <v>337.55500000000001</v>
      </c>
      <c r="P10" s="31">
        <f t="shared" ref="P10:P23" si="0">N10+O10</f>
        <v>675.11</v>
      </c>
      <c r="Q10" s="27">
        <v>2</v>
      </c>
      <c r="R10" s="31">
        <v>120</v>
      </c>
      <c r="S10" s="27">
        <v>3</v>
      </c>
      <c r="T10" s="31">
        <v>100</v>
      </c>
      <c r="U10" s="32">
        <f t="shared" ref="U10:U23" si="1">(Q10*R10)+(S10*T10)</f>
        <v>540</v>
      </c>
      <c r="V10" s="31">
        <f t="shared" ref="V10:V23" si="2">P10+U10</f>
        <v>1215.1100000000001</v>
      </c>
      <c r="W10" s="31">
        <f t="shared" ref="W10:W23" si="3">V10</f>
        <v>1215.1100000000001</v>
      </c>
      <c r="X10" s="28"/>
    </row>
    <row r="11" spans="1:24" ht="25.5" x14ac:dyDescent="0.2">
      <c r="A11" s="27" t="s">
        <v>44</v>
      </c>
      <c r="B11" s="27" t="s">
        <v>138</v>
      </c>
      <c r="C11" s="27" t="s">
        <v>134</v>
      </c>
      <c r="D11" s="29" t="s">
        <v>149</v>
      </c>
      <c r="E11" s="34" t="s">
        <v>150</v>
      </c>
      <c r="F11" s="34" t="s">
        <v>141</v>
      </c>
      <c r="G11" s="30" t="s">
        <v>31</v>
      </c>
      <c r="H11" s="27" t="s">
        <v>32</v>
      </c>
      <c r="I11" s="27" t="s">
        <v>33</v>
      </c>
      <c r="J11" s="27" t="s">
        <v>38</v>
      </c>
      <c r="K11" s="31" t="s">
        <v>39</v>
      </c>
      <c r="L11" s="35">
        <v>43017</v>
      </c>
      <c r="M11" s="35">
        <v>43018</v>
      </c>
      <c r="N11" s="31">
        <f>709.11/2</f>
        <v>354.55500000000001</v>
      </c>
      <c r="O11" s="31">
        <f>709.11/2</f>
        <v>354.55500000000001</v>
      </c>
      <c r="P11" s="31">
        <f t="shared" si="0"/>
        <v>709.11</v>
      </c>
      <c r="Q11" s="27">
        <v>2</v>
      </c>
      <c r="R11" s="31">
        <v>120</v>
      </c>
      <c r="S11" s="27">
        <v>4</v>
      </c>
      <c r="T11" s="31">
        <v>100</v>
      </c>
      <c r="U11" s="32">
        <f t="shared" si="1"/>
        <v>640</v>
      </c>
      <c r="V11" s="31">
        <f t="shared" si="2"/>
        <v>1349.1100000000001</v>
      </c>
      <c r="W11" s="31">
        <f t="shared" si="3"/>
        <v>1349.1100000000001</v>
      </c>
      <c r="X11" s="33"/>
    </row>
    <row r="12" spans="1:24" ht="25.5" x14ac:dyDescent="0.2">
      <c r="A12" s="27" t="s">
        <v>44</v>
      </c>
      <c r="B12" s="27" t="s">
        <v>138</v>
      </c>
      <c r="C12" s="27" t="s">
        <v>135</v>
      </c>
      <c r="D12" s="29" t="s">
        <v>151</v>
      </c>
      <c r="E12" s="20" t="s">
        <v>152</v>
      </c>
      <c r="F12" s="34" t="s">
        <v>141</v>
      </c>
      <c r="G12" s="30" t="s">
        <v>31</v>
      </c>
      <c r="H12" s="27" t="s">
        <v>32</v>
      </c>
      <c r="I12" s="27" t="s">
        <v>33</v>
      </c>
      <c r="J12" s="27" t="s">
        <v>38</v>
      </c>
      <c r="K12" s="31" t="s">
        <v>39</v>
      </c>
      <c r="L12" s="35">
        <v>43017</v>
      </c>
      <c r="M12" s="35">
        <v>43018</v>
      </c>
      <c r="N12" s="31">
        <f>1555.64/2</f>
        <v>777.82</v>
      </c>
      <c r="O12" s="31">
        <f>1555.64/2</f>
        <v>777.82</v>
      </c>
      <c r="P12" s="31">
        <f t="shared" si="0"/>
        <v>1555.64</v>
      </c>
      <c r="Q12" s="27">
        <v>6</v>
      </c>
      <c r="R12" s="31">
        <v>120</v>
      </c>
      <c r="S12" s="27"/>
      <c r="T12" s="31"/>
      <c r="U12" s="32">
        <f t="shared" si="1"/>
        <v>720</v>
      </c>
      <c r="V12" s="31">
        <f t="shared" si="2"/>
        <v>2275.6400000000003</v>
      </c>
      <c r="W12" s="31">
        <f t="shared" si="3"/>
        <v>2275.6400000000003</v>
      </c>
      <c r="X12" s="33"/>
    </row>
    <row r="13" spans="1:24" ht="25.5" x14ac:dyDescent="0.2">
      <c r="A13" s="27" t="s">
        <v>49</v>
      </c>
      <c r="B13" s="27" t="s">
        <v>137</v>
      </c>
      <c r="C13" s="27" t="s">
        <v>136</v>
      </c>
      <c r="D13" s="29" t="s">
        <v>153</v>
      </c>
      <c r="E13" s="20" t="s">
        <v>154</v>
      </c>
      <c r="F13" s="34" t="s">
        <v>142</v>
      </c>
      <c r="G13" s="30" t="s">
        <v>31</v>
      </c>
      <c r="H13" s="27" t="s">
        <v>32</v>
      </c>
      <c r="I13" s="27" t="s">
        <v>33</v>
      </c>
      <c r="J13" s="27" t="s">
        <v>139</v>
      </c>
      <c r="K13" s="31" t="s">
        <v>140</v>
      </c>
      <c r="L13" s="35">
        <v>43012</v>
      </c>
      <c r="M13" s="35">
        <v>43014</v>
      </c>
      <c r="N13" s="31">
        <f>1015.48/2</f>
        <v>507.74</v>
      </c>
      <c r="O13" s="31">
        <f>1015.48/2</f>
        <v>507.74</v>
      </c>
      <c r="P13" s="31">
        <f t="shared" si="0"/>
        <v>1015.48</v>
      </c>
      <c r="Q13" s="27">
        <v>3</v>
      </c>
      <c r="R13" s="31">
        <v>120</v>
      </c>
      <c r="S13" s="27"/>
      <c r="T13" s="31"/>
      <c r="U13" s="32">
        <f t="shared" si="1"/>
        <v>360</v>
      </c>
      <c r="V13" s="31">
        <f t="shared" si="2"/>
        <v>1375.48</v>
      </c>
      <c r="W13" s="31">
        <f t="shared" si="3"/>
        <v>1375.48</v>
      </c>
      <c r="X13" s="33"/>
    </row>
    <row r="14" spans="1:24" ht="25.5" x14ac:dyDescent="0.2">
      <c r="A14" s="27" t="s">
        <v>49</v>
      </c>
      <c r="B14" s="27" t="s">
        <v>137</v>
      </c>
      <c r="C14" s="27" t="s">
        <v>136</v>
      </c>
      <c r="D14" s="29" t="s">
        <v>153</v>
      </c>
      <c r="E14" s="20" t="s">
        <v>154</v>
      </c>
      <c r="F14" s="34" t="s">
        <v>143</v>
      </c>
      <c r="G14" s="30" t="s">
        <v>31</v>
      </c>
      <c r="H14" s="27" t="s">
        <v>32</v>
      </c>
      <c r="I14" s="27" t="s">
        <v>33</v>
      </c>
      <c r="J14" s="27" t="s">
        <v>38</v>
      </c>
      <c r="K14" s="31" t="s">
        <v>39</v>
      </c>
      <c r="L14" s="35">
        <v>43025</v>
      </c>
      <c r="M14" s="35">
        <v>43028</v>
      </c>
      <c r="N14" s="31">
        <f>965.46/2</f>
        <v>482.73</v>
      </c>
      <c r="O14" s="31">
        <f>965.46/2</f>
        <v>482.73</v>
      </c>
      <c r="P14" s="31">
        <f t="shared" si="0"/>
        <v>965.46</v>
      </c>
      <c r="Q14" s="27">
        <v>4</v>
      </c>
      <c r="R14" s="31">
        <v>120</v>
      </c>
      <c r="S14" s="27"/>
      <c r="T14" s="31"/>
      <c r="U14" s="32">
        <f t="shared" si="1"/>
        <v>480</v>
      </c>
      <c r="V14" s="31">
        <f t="shared" si="2"/>
        <v>1445.46</v>
      </c>
      <c r="W14" s="31">
        <f t="shared" si="3"/>
        <v>1445.46</v>
      </c>
      <c r="X14" s="33"/>
    </row>
    <row r="15" spans="1:24" ht="25.5" x14ac:dyDescent="0.2">
      <c r="A15" s="27" t="s">
        <v>44</v>
      </c>
      <c r="B15" s="27" t="s">
        <v>145</v>
      </c>
      <c r="C15" s="27" t="s">
        <v>144</v>
      </c>
      <c r="D15" s="29" t="s">
        <v>155</v>
      </c>
      <c r="E15" s="20" t="s">
        <v>156</v>
      </c>
      <c r="F15" s="34" t="s">
        <v>142</v>
      </c>
      <c r="G15" s="30" t="s">
        <v>31</v>
      </c>
      <c r="H15" s="27" t="s">
        <v>32</v>
      </c>
      <c r="I15" s="27" t="s">
        <v>33</v>
      </c>
      <c r="J15" s="27" t="s">
        <v>139</v>
      </c>
      <c r="K15" s="31" t="s">
        <v>140</v>
      </c>
      <c r="L15" s="35">
        <v>43012</v>
      </c>
      <c r="M15" s="35">
        <v>43014</v>
      </c>
      <c r="N15" s="31">
        <f>1015.48/2</f>
        <v>507.74</v>
      </c>
      <c r="O15" s="31">
        <f>1015.48/2</f>
        <v>507.74</v>
      </c>
      <c r="P15" s="31">
        <f t="shared" si="0"/>
        <v>1015.48</v>
      </c>
      <c r="Q15" s="27">
        <v>5</v>
      </c>
      <c r="R15" s="31">
        <v>120</v>
      </c>
      <c r="S15" s="27"/>
      <c r="T15" s="31"/>
      <c r="U15" s="32">
        <f t="shared" si="1"/>
        <v>600</v>
      </c>
      <c r="V15" s="31">
        <f t="shared" si="2"/>
        <v>1615.48</v>
      </c>
      <c r="W15" s="31">
        <f t="shared" si="3"/>
        <v>1615.48</v>
      </c>
      <c r="X15" s="33"/>
    </row>
    <row r="16" spans="1:24" ht="38.25" x14ac:dyDescent="0.2">
      <c r="A16" s="27" t="s">
        <v>44</v>
      </c>
      <c r="B16" s="27" t="s">
        <v>145</v>
      </c>
      <c r="C16" s="27" t="s">
        <v>146</v>
      </c>
      <c r="D16" s="29" t="s">
        <v>157</v>
      </c>
      <c r="E16" s="34" t="s">
        <v>158</v>
      </c>
      <c r="F16" s="34" t="s">
        <v>142</v>
      </c>
      <c r="G16" s="30" t="s">
        <v>31</v>
      </c>
      <c r="H16" s="27" t="s">
        <v>32</v>
      </c>
      <c r="I16" s="27" t="s">
        <v>33</v>
      </c>
      <c r="J16" s="27" t="s">
        <v>139</v>
      </c>
      <c r="K16" s="31" t="s">
        <v>140</v>
      </c>
      <c r="L16" s="35">
        <v>43012</v>
      </c>
      <c r="M16" s="35">
        <v>43014</v>
      </c>
      <c r="N16" s="31">
        <f>962.55/2</f>
        <v>481.27499999999998</v>
      </c>
      <c r="O16" s="31">
        <f>962.55/2</f>
        <v>481.27499999999998</v>
      </c>
      <c r="P16" s="31">
        <f t="shared" si="0"/>
        <v>962.55</v>
      </c>
      <c r="Q16" s="27">
        <v>5</v>
      </c>
      <c r="R16" s="31">
        <v>120</v>
      </c>
      <c r="S16" s="27"/>
      <c r="T16" s="31"/>
      <c r="U16" s="32">
        <f t="shared" si="1"/>
        <v>600</v>
      </c>
      <c r="V16" s="31">
        <f t="shared" si="2"/>
        <v>1562.55</v>
      </c>
      <c r="W16" s="31">
        <f t="shared" si="3"/>
        <v>1562.55</v>
      </c>
      <c r="X16" s="33"/>
    </row>
    <row r="17" spans="1:24" ht="38.25" x14ac:dyDescent="0.2">
      <c r="A17" s="27" t="s">
        <v>49</v>
      </c>
      <c r="B17" s="27" t="s">
        <v>137</v>
      </c>
      <c r="C17" s="27" t="s">
        <v>147</v>
      </c>
      <c r="D17" s="29" t="s">
        <v>159</v>
      </c>
      <c r="E17" s="20" t="s">
        <v>160</v>
      </c>
      <c r="F17" s="34" t="s">
        <v>143</v>
      </c>
      <c r="G17" s="30" t="s">
        <v>31</v>
      </c>
      <c r="H17" s="27" t="s">
        <v>32</v>
      </c>
      <c r="I17" s="27" t="s">
        <v>33</v>
      </c>
      <c r="J17" s="27" t="s">
        <v>38</v>
      </c>
      <c r="K17" s="31" t="s">
        <v>39</v>
      </c>
      <c r="L17" s="35">
        <v>43025</v>
      </c>
      <c r="M17" s="35">
        <v>43028</v>
      </c>
      <c r="N17" s="31">
        <f>965.49/2</f>
        <v>482.745</v>
      </c>
      <c r="O17" s="31">
        <f>965.49/2</f>
        <v>482.745</v>
      </c>
      <c r="P17" s="31">
        <f t="shared" si="0"/>
        <v>965.49</v>
      </c>
      <c r="Q17" s="27">
        <v>7</v>
      </c>
      <c r="R17" s="31">
        <v>120</v>
      </c>
      <c r="S17" s="27"/>
      <c r="T17" s="31"/>
      <c r="U17" s="32">
        <f t="shared" si="1"/>
        <v>840</v>
      </c>
      <c r="V17" s="31">
        <f t="shared" si="2"/>
        <v>1805.49</v>
      </c>
      <c r="W17" s="31">
        <f t="shared" si="3"/>
        <v>1805.49</v>
      </c>
      <c r="X17" s="33"/>
    </row>
    <row r="18" spans="1:24" ht="25.5" x14ac:dyDescent="0.2">
      <c r="A18" s="27" t="s">
        <v>34</v>
      </c>
      <c r="B18" s="27" t="s">
        <v>77</v>
      </c>
      <c r="C18" s="27" t="s">
        <v>76</v>
      </c>
      <c r="D18" s="29" t="s">
        <v>78</v>
      </c>
      <c r="E18" s="20" t="s">
        <v>89</v>
      </c>
      <c r="F18" s="34" t="s">
        <v>161</v>
      </c>
      <c r="G18" s="30" t="s">
        <v>31</v>
      </c>
      <c r="H18" s="27" t="s">
        <v>32</v>
      </c>
      <c r="I18" s="27" t="s">
        <v>33</v>
      </c>
      <c r="J18" s="27" t="s">
        <v>38</v>
      </c>
      <c r="K18" s="31" t="s">
        <v>39</v>
      </c>
      <c r="L18" s="35">
        <v>43010</v>
      </c>
      <c r="M18" s="35">
        <v>43013</v>
      </c>
      <c r="N18" s="31">
        <f>1354.13/2</f>
        <v>677.06500000000005</v>
      </c>
      <c r="O18" s="31">
        <f>1354.13/2</f>
        <v>677.06500000000005</v>
      </c>
      <c r="P18" s="31">
        <f t="shared" si="0"/>
        <v>1354.13</v>
      </c>
      <c r="Q18" s="27">
        <v>6</v>
      </c>
      <c r="R18" s="31">
        <v>120</v>
      </c>
      <c r="S18" s="27"/>
      <c r="T18" s="31"/>
      <c r="U18" s="32">
        <f t="shared" si="1"/>
        <v>720</v>
      </c>
      <c r="V18" s="31">
        <f t="shared" si="2"/>
        <v>2074.13</v>
      </c>
      <c r="W18" s="31">
        <f t="shared" si="3"/>
        <v>2074.13</v>
      </c>
      <c r="X18" s="33"/>
    </row>
    <row r="19" spans="1:24" ht="25.5" x14ac:dyDescent="0.2">
      <c r="A19" s="27" t="s">
        <v>44</v>
      </c>
      <c r="B19" s="27" t="s">
        <v>169</v>
      </c>
      <c r="C19" s="27" t="s">
        <v>72</v>
      </c>
      <c r="D19" s="29" t="s">
        <v>104</v>
      </c>
      <c r="E19" s="14" t="s">
        <v>87</v>
      </c>
      <c r="F19" s="34" t="s">
        <v>141</v>
      </c>
      <c r="G19" s="30" t="s">
        <v>31</v>
      </c>
      <c r="H19" s="27" t="s">
        <v>111</v>
      </c>
      <c r="I19" s="27" t="s">
        <v>112</v>
      </c>
      <c r="J19" s="27" t="s">
        <v>38</v>
      </c>
      <c r="K19" s="31" t="s">
        <v>39</v>
      </c>
      <c r="L19" s="35">
        <v>43017</v>
      </c>
      <c r="M19" s="35">
        <v>43018</v>
      </c>
      <c r="N19" s="31">
        <f>637.47/2</f>
        <v>318.73500000000001</v>
      </c>
      <c r="O19" s="31">
        <f>637.47/2</f>
        <v>318.73500000000001</v>
      </c>
      <c r="P19" s="31">
        <f t="shared" si="0"/>
        <v>637.47</v>
      </c>
      <c r="Q19" s="27">
        <v>2</v>
      </c>
      <c r="R19" s="31">
        <v>120</v>
      </c>
      <c r="S19" s="27"/>
      <c r="T19" s="31"/>
      <c r="U19" s="32">
        <f t="shared" si="1"/>
        <v>240</v>
      </c>
      <c r="V19" s="31">
        <f t="shared" si="2"/>
        <v>877.47</v>
      </c>
      <c r="W19" s="31">
        <f t="shared" si="3"/>
        <v>877.47</v>
      </c>
      <c r="X19" s="33"/>
    </row>
    <row r="20" spans="1:24" ht="25.5" x14ac:dyDescent="0.2">
      <c r="A20" s="27" t="s">
        <v>44</v>
      </c>
      <c r="B20" s="27" t="s">
        <v>138</v>
      </c>
      <c r="C20" s="27" t="s">
        <v>134</v>
      </c>
      <c r="D20" s="29" t="s">
        <v>149</v>
      </c>
      <c r="E20" s="20" t="s">
        <v>150</v>
      </c>
      <c r="F20" s="34" t="s">
        <v>162</v>
      </c>
      <c r="G20" s="30" t="s">
        <v>31</v>
      </c>
      <c r="H20" s="27" t="s">
        <v>32</v>
      </c>
      <c r="I20" s="27" t="s">
        <v>33</v>
      </c>
      <c r="J20" s="27" t="s">
        <v>38</v>
      </c>
      <c r="K20" s="31" t="s">
        <v>39</v>
      </c>
      <c r="L20" s="35">
        <v>43024</v>
      </c>
      <c r="M20" s="35">
        <v>43025</v>
      </c>
      <c r="N20" s="31">
        <f>1068.41/2</f>
        <v>534.20500000000004</v>
      </c>
      <c r="O20" s="31">
        <f>1068.41/2</f>
        <v>534.20500000000004</v>
      </c>
      <c r="P20" s="31">
        <f t="shared" si="0"/>
        <v>1068.4100000000001</v>
      </c>
      <c r="Q20" s="27">
        <v>2</v>
      </c>
      <c r="R20" s="31">
        <v>120</v>
      </c>
      <c r="S20" s="27">
        <v>3</v>
      </c>
      <c r="T20" s="31">
        <v>100</v>
      </c>
      <c r="U20" s="32">
        <f t="shared" si="1"/>
        <v>540</v>
      </c>
      <c r="V20" s="31">
        <f t="shared" si="2"/>
        <v>1608.41</v>
      </c>
      <c r="W20" s="31">
        <f t="shared" si="3"/>
        <v>1608.41</v>
      </c>
      <c r="X20" s="33"/>
    </row>
    <row r="21" spans="1:24" ht="25.5" x14ac:dyDescent="0.2">
      <c r="A21" s="27" t="s">
        <v>34</v>
      </c>
      <c r="B21" s="27" t="s">
        <v>77</v>
      </c>
      <c r="C21" s="27" t="s">
        <v>95</v>
      </c>
      <c r="D21" s="29" t="s">
        <v>96</v>
      </c>
      <c r="E21" s="34" t="s">
        <v>171</v>
      </c>
      <c r="F21" s="34" t="s">
        <v>163</v>
      </c>
      <c r="G21" s="30" t="s">
        <v>31</v>
      </c>
      <c r="H21" s="27" t="s">
        <v>32</v>
      </c>
      <c r="I21" s="27" t="s">
        <v>33</v>
      </c>
      <c r="J21" s="27" t="s">
        <v>38</v>
      </c>
      <c r="K21" s="31" t="s">
        <v>39</v>
      </c>
      <c r="L21" s="35">
        <v>43031</v>
      </c>
      <c r="M21" s="35">
        <v>43034</v>
      </c>
      <c r="N21" s="31">
        <f>1472.41/2</f>
        <v>736.20500000000004</v>
      </c>
      <c r="O21" s="31">
        <f>1472.41/2</f>
        <v>736.20500000000004</v>
      </c>
      <c r="P21" s="31">
        <f t="shared" si="0"/>
        <v>1472.41</v>
      </c>
      <c r="Q21" s="27">
        <v>4</v>
      </c>
      <c r="R21" s="31">
        <v>120</v>
      </c>
      <c r="S21" s="27">
        <v>2</v>
      </c>
      <c r="T21" s="31">
        <v>100</v>
      </c>
      <c r="U21" s="32">
        <f t="shared" si="1"/>
        <v>680</v>
      </c>
      <c r="V21" s="31">
        <f t="shared" si="2"/>
        <v>2152.41</v>
      </c>
      <c r="W21" s="31">
        <f t="shared" si="3"/>
        <v>2152.41</v>
      </c>
      <c r="X21" s="33"/>
    </row>
    <row r="22" spans="1:24" ht="25.5" x14ac:dyDescent="0.2">
      <c r="A22" s="27" t="s">
        <v>49</v>
      </c>
      <c r="B22" s="27" t="s">
        <v>50</v>
      </c>
      <c r="C22" s="27" t="s">
        <v>48</v>
      </c>
      <c r="D22" s="29" t="s">
        <v>81</v>
      </c>
      <c r="E22" s="20" t="s">
        <v>56</v>
      </c>
      <c r="F22" s="34" t="s">
        <v>164</v>
      </c>
      <c r="G22" s="30" t="s">
        <v>31</v>
      </c>
      <c r="H22" s="27" t="s">
        <v>32</v>
      </c>
      <c r="I22" s="27" t="s">
        <v>33</v>
      </c>
      <c r="J22" s="27" t="s">
        <v>38</v>
      </c>
      <c r="K22" s="31" t="s">
        <v>39</v>
      </c>
      <c r="L22" s="35">
        <v>43026</v>
      </c>
      <c r="M22" s="35">
        <v>43028</v>
      </c>
      <c r="N22" s="31">
        <f>1742.53/2</f>
        <v>871.26499999999999</v>
      </c>
      <c r="O22" s="31">
        <f>1742.53/2</f>
        <v>871.26499999999999</v>
      </c>
      <c r="P22" s="31">
        <f t="shared" si="0"/>
        <v>1742.53</v>
      </c>
      <c r="Q22" s="27">
        <v>6</v>
      </c>
      <c r="R22" s="31">
        <v>120</v>
      </c>
      <c r="S22" s="27"/>
      <c r="T22" s="31"/>
      <c r="U22" s="32">
        <f t="shared" si="1"/>
        <v>720</v>
      </c>
      <c r="V22" s="31">
        <f t="shared" si="2"/>
        <v>2462.5299999999997</v>
      </c>
      <c r="W22" s="31">
        <f t="shared" si="3"/>
        <v>2462.5299999999997</v>
      </c>
      <c r="X22" s="33"/>
    </row>
    <row r="23" spans="1:24" ht="51" x14ac:dyDescent="0.2">
      <c r="A23" s="27" t="s">
        <v>34</v>
      </c>
      <c r="B23" s="27" t="s">
        <v>35</v>
      </c>
      <c r="C23" s="27" t="s">
        <v>165</v>
      </c>
      <c r="D23" s="29" t="s">
        <v>173</v>
      </c>
      <c r="E23" s="20" t="s">
        <v>174</v>
      </c>
      <c r="F23" s="34" t="s">
        <v>166</v>
      </c>
      <c r="G23" s="30" t="s">
        <v>31</v>
      </c>
      <c r="H23" s="27" t="s">
        <v>32</v>
      </c>
      <c r="I23" s="27" t="s">
        <v>33</v>
      </c>
      <c r="J23" s="27" t="s">
        <v>111</v>
      </c>
      <c r="K23" s="27" t="s">
        <v>112</v>
      </c>
      <c r="L23" s="35">
        <v>43030</v>
      </c>
      <c r="M23" s="35">
        <v>43032</v>
      </c>
      <c r="N23" s="31">
        <f>776.56/2</f>
        <v>388.28</v>
      </c>
      <c r="O23" s="31">
        <f>776.56/2</f>
        <v>388.28</v>
      </c>
      <c r="P23" s="31">
        <f t="shared" si="0"/>
        <v>776.56</v>
      </c>
      <c r="Q23" s="27">
        <v>3</v>
      </c>
      <c r="R23" s="31">
        <v>120</v>
      </c>
      <c r="S23" s="27">
        <v>2</v>
      </c>
      <c r="T23" s="31">
        <v>100</v>
      </c>
      <c r="U23" s="32">
        <f t="shared" si="1"/>
        <v>560</v>
      </c>
      <c r="V23" s="31">
        <f t="shared" si="2"/>
        <v>1336.56</v>
      </c>
      <c r="W23" s="31">
        <f t="shared" si="3"/>
        <v>1336.56</v>
      </c>
      <c r="X23" s="33"/>
    </row>
    <row r="24" spans="1:24" ht="38.25" x14ac:dyDescent="0.2">
      <c r="A24" s="27" t="s">
        <v>34</v>
      </c>
      <c r="B24" s="27" t="s">
        <v>35</v>
      </c>
      <c r="C24" s="27" t="s">
        <v>40</v>
      </c>
      <c r="D24" s="29" t="s">
        <v>172</v>
      </c>
      <c r="E24" s="20" t="s">
        <v>53</v>
      </c>
      <c r="F24" s="34" t="s">
        <v>100</v>
      </c>
      <c r="G24" s="30" t="s">
        <v>31</v>
      </c>
      <c r="H24" s="27" t="s">
        <v>32</v>
      </c>
      <c r="I24" s="27" t="s">
        <v>33</v>
      </c>
      <c r="J24" s="27" t="s">
        <v>111</v>
      </c>
      <c r="K24" s="27" t="s">
        <v>112</v>
      </c>
      <c r="L24" s="35">
        <v>43032</v>
      </c>
      <c r="M24" s="35">
        <v>43034</v>
      </c>
      <c r="N24" s="31">
        <f>618.16/2</f>
        <v>309.08</v>
      </c>
      <c r="O24" s="31">
        <f>618.16/2</f>
        <v>309.08</v>
      </c>
      <c r="P24" s="31">
        <f t="shared" ref="P24:P32" si="4">N24+O24</f>
        <v>618.16</v>
      </c>
      <c r="Q24" s="27">
        <v>3</v>
      </c>
      <c r="R24" s="31">
        <v>120</v>
      </c>
      <c r="S24" s="27"/>
      <c r="T24" s="31"/>
      <c r="U24" s="32">
        <f t="shared" ref="U24:U32" si="5">(Q24*R24)+(S24*T24)</f>
        <v>360</v>
      </c>
      <c r="V24" s="31">
        <f t="shared" ref="V24:V32" si="6">P24+U24</f>
        <v>978.16</v>
      </c>
      <c r="W24" s="31">
        <f t="shared" ref="W24:W32" si="7">V24</f>
        <v>978.16</v>
      </c>
      <c r="X24" s="33"/>
    </row>
    <row r="25" spans="1:24" ht="25.5" x14ac:dyDescent="0.2">
      <c r="A25" s="27" t="s">
        <v>34</v>
      </c>
      <c r="B25" s="27" t="s">
        <v>34</v>
      </c>
      <c r="C25" s="27" t="s">
        <v>46</v>
      </c>
      <c r="D25" s="29" t="s">
        <v>104</v>
      </c>
      <c r="E25" s="20" t="s">
        <v>55</v>
      </c>
      <c r="F25" s="34" t="s">
        <v>167</v>
      </c>
      <c r="G25" s="30" t="s">
        <v>31</v>
      </c>
      <c r="H25" s="27" t="s">
        <v>32</v>
      </c>
      <c r="I25" s="27" t="s">
        <v>33</v>
      </c>
      <c r="J25" s="27" t="s">
        <v>38</v>
      </c>
      <c r="K25" s="31" t="s">
        <v>39</v>
      </c>
      <c r="L25" s="35">
        <v>43027</v>
      </c>
      <c r="M25" s="35">
        <v>43028</v>
      </c>
      <c r="N25" s="31">
        <f>2126/2</f>
        <v>1063</v>
      </c>
      <c r="O25" s="31">
        <f>2126/2</f>
        <v>1063</v>
      </c>
      <c r="P25" s="31">
        <f t="shared" si="4"/>
        <v>2126</v>
      </c>
      <c r="Q25" s="27"/>
      <c r="R25" s="31"/>
      <c r="S25" s="27"/>
      <c r="T25" s="31"/>
      <c r="U25" s="32">
        <f t="shared" si="5"/>
        <v>0</v>
      </c>
      <c r="V25" s="31">
        <f t="shared" si="6"/>
        <v>2126</v>
      </c>
      <c r="W25" s="31">
        <f t="shared" si="7"/>
        <v>2126</v>
      </c>
      <c r="X25" s="33"/>
    </row>
    <row r="26" spans="1:24" ht="25.5" x14ac:dyDescent="0.2">
      <c r="A26" s="27" t="s">
        <v>34</v>
      </c>
      <c r="B26" s="27" t="s">
        <v>77</v>
      </c>
      <c r="C26" s="27" t="s">
        <v>168</v>
      </c>
      <c r="D26" s="29" t="s">
        <v>175</v>
      </c>
      <c r="E26" s="20" t="s">
        <v>176</v>
      </c>
      <c r="F26" s="34" t="s">
        <v>163</v>
      </c>
      <c r="G26" s="30" t="s">
        <v>31</v>
      </c>
      <c r="H26" s="27" t="s">
        <v>32</v>
      </c>
      <c r="I26" s="27" t="s">
        <v>33</v>
      </c>
      <c r="J26" s="27" t="s">
        <v>38</v>
      </c>
      <c r="K26" s="31" t="s">
        <v>39</v>
      </c>
      <c r="L26" s="35">
        <v>43031</v>
      </c>
      <c r="M26" s="35">
        <v>43034</v>
      </c>
      <c r="N26" s="31">
        <f>1472.41/2</f>
        <v>736.20500000000004</v>
      </c>
      <c r="O26" s="31">
        <f>1472.41/2</f>
        <v>736.20500000000004</v>
      </c>
      <c r="P26" s="31">
        <f t="shared" si="4"/>
        <v>1472.41</v>
      </c>
      <c r="Q26" s="27">
        <v>4</v>
      </c>
      <c r="R26" s="31">
        <v>120</v>
      </c>
      <c r="S26" s="27"/>
      <c r="T26" s="31"/>
      <c r="U26" s="32">
        <f t="shared" si="5"/>
        <v>480</v>
      </c>
      <c r="V26" s="31">
        <f t="shared" si="6"/>
        <v>1952.41</v>
      </c>
      <c r="W26" s="31">
        <f t="shared" si="7"/>
        <v>1952.41</v>
      </c>
      <c r="X26" s="33"/>
    </row>
    <row r="27" spans="1:24" ht="25.5" x14ac:dyDescent="0.2">
      <c r="A27" s="27" t="s">
        <v>49</v>
      </c>
      <c r="B27" s="27" t="s">
        <v>50</v>
      </c>
      <c r="C27" s="27" t="s">
        <v>48</v>
      </c>
      <c r="D27" s="29" t="s">
        <v>81</v>
      </c>
      <c r="E27" s="20" t="s">
        <v>56</v>
      </c>
      <c r="F27" s="34" t="s">
        <v>161</v>
      </c>
      <c r="G27" s="30" t="s">
        <v>31</v>
      </c>
      <c r="H27" s="27" t="s">
        <v>32</v>
      </c>
      <c r="I27" s="27" t="s">
        <v>33</v>
      </c>
      <c r="J27" s="27" t="s">
        <v>111</v>
      </c>
      <c r="K27" s="27" t="s">
        <v>112</v>
      </c>
      <c r="L27" s="35">
        <v>43035</v>
      </c>
      <c r="M27" s="35">
        <v>43035</v>
      </c>
      <c r="N27" s="31">
        <f>985.24/2</f>
        <v>492.62</v>
      </c>
      <c r="O27" s="31">
        <f>985.24/2</f>
        <v>492.62</v>
      </c>
      <c r="P27" s="31">
        <f t="shared" si="4"/>
        <v>985.24</v>
      </c>
      <c r="Q27" s="27">
        <v>3</v>
      </c>
      <c r="R27" s="31">
        <v>120</v>
      </c>
      <c r="S27" s="27"/>
      <c r="T27" s="31"/>
      <c r="U27" s="32">
        <f t="shared" si="5"/>
        <v>360</v>
      </c>
      <c r="V27" s="31">
        <f t="shared" si="6"/>
        <v>1345.24</v>
      </c>
      <c r="W27" s="31">
        <f t="shared" si="7"/>
        <v>1345.24</v>
      </c>
      <c r="X27" s="33"/>
    </row>
    <row r="28" spans="1:24" ht="25.5" x14ac:dyDescent="0.2">
      <c r="A28" s="27" t="s">
        <v>49</v>
      </c>
      <c r="B28" s="27" t="s">
        <v>49</v>
      </c>
      <c r="C28" s="27" t="s">
        <v>80</v>
      </c>
      <c r="D28" s="29" t="s">
        <v>104</v>
      </c>
      <c r="E28" s="20" t="s">
        <v>90</v>
      </c>
      <c r="F28" s="34" t="s">
        <v>161</v>
      </c>
      <c r="G28" s="30" t="s">
        <v>31</v>
      </c>
      <c r="H28" s="27" t="s">
        <v>32</v>
      </c>
      <c r="I28" s="27" t="s">
        <v>33</v>
      </c>
      <c r="J28" s="27" t="s">
        <v>111</v>
      </c>
      <c r="K28" s="27" t="s">
        <v>112</v>
      </c>
      <c r="L28" s="35">
        <v>43035</v>
      </c>
      <c r="M28" s="35">
        <v>43035</v>
      </c>
      <c r="N28" s="31">
        <f>985.25/2</f>
        <v>492.625</v>
      </c>
      <c r="O28" s="31">
        <f>985.25/2</f>
        <v>492.625</v>
      </c>
      <c r="P28" s="31">
        <f t="shared" si="4"/>
        <v>985.25</v>
      </c>
      <c r="Q28" s="27"/>
      <c r="R28" s="31"/>
      <c r="S28" s="27"/>
      <c r="T28" s="31"/>
      <c r="U28" s="32">
        <f t="shared" si="5"/>
        <v>0</v>
      </c>
      <c r="V28" s="31">
        <f t="shared" si="6"/>
        <v>985.25</v>
      </c>
      <c r="W28" s="31">
        <f t="shared" si="7"/>
        <v>985.25</v>
      </c>
      <c r="X28" s="33"/>
    </row>
    <row r="29" spans="1:24" ht="25.5" x14ac:dyDescent="0.2">
      <c r="A29" s="27" t="s">
        <v>44</v>
      </c>
      <c r="B29" s="27" t="s">
        <v>169</v>
      </c>
      <c r="C29" s="27" t="s">
        <v>72</v>
      </c>
      <c r="D29" s="29" t="s">
        <v>104</v>
      </c>
      <c r="E29" s="14" t="s">
        <v>87</v>
      </c>
      <c r="F29" s="34" t="s">
        <v>170</v>
      </c>
      <c r="G29" s="30" t="s">
        <v>31</v>
      </c>
      <c r="H29" s="27" t="s">
        <v>32</v>
      </c>
      <c r="I29" s="27" t="s">
        <v>33</v>
      </c>
      <c r="J29" s="27" t="s">
        <v>38</v>
      </c>
      <c r="K29" s="31" t="s">
        <v>39</v>
      </c>
      <c r="L29" s="35">
        <v>43038</v>
      </c>
      <c r="M29" s="35">
        <v>43039</v>
      </c>
      <c r="N29" s="31">
        <f>926.99/2</f>
        <v>463.495</v>
      </c>
      <c r="O29" s="31">
        <f>926.99/2</f>
        <v>463.495</v>
      </c>
      <c r="P29" s="31">
        <f t="shared" si="4"/>
        <v>926.99</v>
      </c>
      <c r="Q29" s="27">
        <v>2</v>
      </c>
      <c r="R29" s="31">
        <v>120</v>
      </c>
      <c r="S29" s="27"/>
      <c r="T29" s="31"/>
      <c r="U29" s="32">
        <f t="shared" si="5"/>
        <v>240</v>
      </c>
      <c r="V29" s="31">
        <f t="shared" si="6"/>
        <v>1166.99</v>
      </c>
      <c r="W29" s="31">
        <f t="shared" si="7"/>
        <v>1166.99</v>
      </c>
      <c r="X29" s="33"/>
    </row>
    <row r="30" spans="1:24" ht="38.25" x14ac:dyDescent="0.2">
      <c r="A30" s="27" t="s">
        <v>44</v>
      </c>
      <c r="B30" s="27" t="s">
        <v>44</v>
      </c>
      <c r="C30" s="27" t="s">
        <v>75</v>
      </c>
      <c r="D30" s="29" t="s">
        <v>104</v>
      </c>
      <c r="E30" s="20" t="s">
        <v>88</v>
      </c>
      <c r="F30" s="34" t="s">
        <v>170</v>
      </c>
      <c r="G30" s="30" t="s">
        <v>31</v>
      </c>
      <c r="H30" s="27" t="s">
        <v>32</v>
      </c>
      <c r="I30" s="27" t="s">
        <v>33</v>
      </c>
      <c r="J30" s="27" t="s">
        <v>38</v>
      </c>
      <c r="K30" s="31" t="s">
        <v>39</v>
      </c>
      <c r="L30" s="35">
        <v>43038</v>
      </c>
      <c r="M30" s="35">
        <v>43039</v>
      </c>
      <c r="N30" s="31">
        <f>1643.19/2</f>
        <v>821.59500000000003</v>
      </c>
      <c r="O30" s="31">
        <f>1643.19/2</f>
        <v>821.59500000000003</v>
      </c>
      <c r="P30" s="31">
        <f t="shared" si="4"/>
        <v>1643.19</v>
      </c>
      <c r="Q30" s="27"/>
      <c r="R30" s="31"/>
      <c r="S30" s="27"/>
      <c r="T30" s="31"/>
      <c r="U30" s="32">
        <f t="shared" si="5"/>
        <v>0</v>
      </c>
      <c r="V30" s="31">
        <f t="shared" si="6"/>
        <v>1643.19</v>
      </c>
      <c r="W30" s="31">
        <f t="shared" si="7"/>
        <v>1643.19</v>
      </c>
      <c r="X30" s="33"/>
    </row>
    <row r="31" spans="1:24" ht="25.5" x14ac:dyDescent="0.2">
      <c r="A31" s="27" t="s">
        <v>49</v>
      </c>
      <c r="B31" s="27" t="s">
        <v>49</v>
      </c>
      <c r="C31" s="27" t="s">
        <v>80</v>
      </c>
      <c r="D31" s="29" t="s">
        <v>104</v>
      </c>
      <c r="E31" s="20" t="s">
        <v>90</v>
      </c>
      <c r="F31" s="34" t="s">
        <v>47</v>
      </c>
      <c r="G31" s="30" t="s">
        <v>31</v>
      </c>
      <c r="H31" s="27" t="s">
        <v>32</v>
      </c>
      <c r="I31" s="27" t="s">
        <v>33</v>
      </c>
      <c r="J31" s="27" t="s">
        <v>38</v>
      </c>
      <c r="K31" s="31" t="s">
        <v>39</v>
      </c>
      <c r="L31" s="35">
        <v>43039</v>
      </c>
      <c r="M31" s="35">
        <v>43039</v>
      </c>
      <c r="N31" s="31">
        <f>1643.2/2</f>
        <v>821.6</v>
      </c>
      <c r="O31" s="31">
        <f>1643.2/2</f>
        <v>821.6</v>
      </c>
      <c r="P31" s="31">
        <f t="shared" si="4"/>
        <v>1643.2</v>
      </c>
      <c r="Q31" s="27"/>
      <c r="R31" s="31"/>
      <c r="S31" s="27"/>
      <c r="T31" s="31"/>
      <c r="U31" s="32">
        <f t="shared" si="5"/>
        <v>0</v>
      </c>
      <c r="V31" s="31">
        <f t="shared" si="6"/>
        <v>1643.2</v>
      </c>
      <c r="W31" s="31">
        <f t="shared" si="7"/>
        <v>1643.2</v>
      </c>
      <c r="X31" s="33"/>
    </row>
    <row r="32" spans="1:24" ht="25.5" x14ac:dyDescent="0.2">
      <c r="A32" s="27" t="s">
        <v>34</v>
      </c>
      <c r="B32" s="27" t="s">
        <v>34</v>
      </c>
      <c r="C32" s="27" t="s">
        <v>46</v>
      </c>
      <c r="D32" s="29" t="s">
        <v>104</v>
      </c>
      <c r="E32" s="20" t="s">
        <v>55</v>
      </c>
      <c r="F32" s="34" t="s">
        <v>47</v>
      </c>
      <c r="G32" s="30" t="s">
        <v>31</v>
      </c>
      <c r="H32" s="27" t="s">
        <v>32</v>
      </c>
      <c r="I32" s="27" t="s">
        <v>33</v>
      </c>
      <c r="J32" s="27" t="s">
        <v>38</v>
      </c>
      <c r="K32" s="31" t="s">
        <v>39</v>
      </c>
      <c r="L32" s="35">
        <v>43038</v>
      </c>
      <c r="M32" s="35">
        <v>43040</v>
      </c>
      <c r="N32" s="31">
        <f>926.98/2</f>
        <v>463.49</v>
      </c>
      <c r="O32" s="31">
        <f>926.98/2</f>
        <v>463.49</v>
      </c>
      <c r="P32" s="31">
        <f t="shared" si="4"/>
        <v>926.98</v>
      </c>
      <c r="Q32" s="27"/>
      <c r="R32" s="31"/>
      <c r="S32" s="27"/>
      <c r="T32" s="31"/>
      <c r="U32" s="32">
        <f t="shared" si="5"/>
        <v>0</v>
      </c>
      <c r="V32" s="31">
        <f t="shared" si="6"/>
        <v>926.98</v>
      </c>
      <c r="W32" s="31">
        <f t="shared" si="7"/>
        <v>926.98</v>
      </c>
      <c r="X32" s="33"/>
    </row>
  </sheetData>
  <mergeCells count="27">
    <mergeCell ref="V8:V9"/>
    <mergeCell ref="N8:N9"/>
    <mergeCell ref="P8:P9"/>
    <mergeCell ref="Q8:R8"/>
    <mergeCell ref="S8:T8"/>
    <mergeCell ref="U8:U9"/>
    <mergeCell ref="G8:G9"/>
    <mergeCell ref="H8:I8"/>
    <mergeCell ref="J8:K8"/>
    <mergeCell ref="L8:L9"/>
    <mergeCell ref="M8:M9"/>
    <mergeCell ref="V5:W5"/>
    <mergeCell ref="A6:X6"/>
    <mergeCell ref="A7:B7"/>
    <mergeCell ref="C7:E7"/>
    <mergeCell ref="F7:M7"/>
    <mergeCell ref="N7:P7"/>
    <mergeCell ref="Q7:V7"/>
    <mergeCell ref="W7:W9"/>
    <mergeCell ref="X7:X9"/>
    <mergeCell ref="A8:A9"/>
    <mergeCell ref="O8:O9"/>
    <mergeCell ref="B8:B9"/>
    <mergeCell ref="C8:C9"/>
    <mergeCell ref="D8:D9"/>
    <mergeCell ref="E8:E9"/>
    <mergeCell ref="F8:F9"/>
  </mergeCells>
  <pageMargins left="0" right="0" top="0.39370078740157505" bottom="0.39370078740157505" header="0" footer="0"/>
  <pageSetup paperSize="0" fitToWidth="0" fitToHeight="0" pageOrder="overThenDown" horizontalDpi="0" verticalDpi="0" copies="0"/>
  <headerFooter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topLeftCell="A10" workbookViewId="0">
      <selection activeCell="D17" sqref="D17:E17"/>
    </sheetView>
  </sheetViews>
  <sheetFormatPr defaultRowHeight="15" customHeight="1" x14ac:dyDescent="0.2"/>
  <cols>
    <col min="1" max="1" width="8.625" customWidth="1"/>
    <col min="2" max="2" width="10.75" customWidth="1"/>
    <col min="3" max="3" width="46" bestFit="1" customWidth="1"/>
    <col min="4" max="4" width="12" customWidth="1"/>
    <col min="5" max="5" width="17.5" customWidth="1"/>
    <col min="6" max="6" width="35.125" customWidth="1"/>
    <col min="7" max="7" width="11.25" customWidth="1"/>
    <col min="8" max="8" width="4.75" customWidth="1"/>
    <col min="9" max="9" width="16.5" customWidth="1"/>
    <col min="10" max="10" width="4" customWidth="1"/>
    <col min="11" max="11" width="16.75" customWidth="1"/>
    <col min="12" max="12" width="12.125" customWidth="1"/>
    <col min="13" max="13" width="12.25" customWidth="1"/>
    <col min="14" max="14" width="14" customWidth="1"/>
    <col min="15" max="15" width="14.25" customWidth="1"/>
    <col min="16" max="1024" width="18" customWidth="1"/>
    <col min="1025" max="1025" width="9" customWidth="1"/>
  </cols>
  <sheetData>
    <row r="1" spans="1:24" ht="14.2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4.2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3.2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40" t="s">
        <v>0</v>
      </c>
      <c r="W5" s="40"/>
      <c r="X5" s="8">
        <v>43009</v>
      </c>
    </row>
    <row r="6" spans="1:24" x14ac:dyDescent="0.25">
      <c r="A6" s="41" t="s">
        <v>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</row>
    <row r="7" spans="1:24" x14ac:dyDescent="0.25">
      <c r="A7" s="41" t="s">
        <v>5</v>
      </c>
      <c r="B7" s="41"/>
      <c r="C7" s="41" t="s">
        <v>6</v>
      </c>
      <c r="D7" s="41"/>
      <c r="E7" s="41"/>
      <c r="F7" s="41" t="s">
        <v>3</v>
      </c>
      <c r="G7" s="41"/>
      <c r="H7" s="41"/>
      <c r="I7" s="41"/>
      <c r="J7" s="41"/>
      <c r="K7" s="41"/>
      <c r="L7" s="41"/>
      <c r="M7" s="41"/>
      <c r="N7" s="41" t="s">
        <v>7</v>
      </c>
      <c r="O7" s="41"/>
      <c r="P7" s="41"/>
      <c r="Q7" s="41" t="s">
        <v>1</v>
      </c>
      <c r="R7" s="41"/>
      <c r="S7" s="41"/>
      <c r="T7" s="41"/>
      <c r="U7" s="41"/>
      <c r="V7" s="41"/>
      <c r="W7" s="41" t="s">
        <v>8</v>
      </c>
      <c r="X7" s="41" t="s">
        <v>9</v>
      </c>
    </row>
    <row r="8" spans="1:24" s="9" customFormat="1" x14ac:dyDescent="0.25">
      <c r="A8" s="39" t="s">
        <v>10</v>
      </c>
      <c r="B8" s="39" t="s">
        <v>11</v>
      </c>
      <c r="C8" s="39" t="s">
        <v>12</v>
      </c>
      <c r="D8" s="39" t="s">
        <v>13</v>
      </c>
      <c r="E8" s="39" t="s">
        <v>14</v>
      </c>
      <c r="F8" s="39" t="s">
        <v>15</v>
      </c>
      <c r="G8" s="39" t="s">
        <v>16</v>
      </c>
      <c r="H8" s="39" t="s">
        <v>17</v>
      </c>
      <c r="I8" s="39"/>
      <c r="J8" s="38" t="s">
        <v>18</v>
      </c>
      <c r="K8" s="38"/>
      <c r="L8" s="39" t="s">
        <v>19</v>
      </c>
      <c r="M8" s="39" t="s">
        <v>20</v>
      </c>
      <c r="N8" s="38" t="s">
        <v>21</v>
      </c>
      <c r="O8" s="38" t="s">
        <v>22</v>
      </c>
      <c r="P8" s="38" t="s">
        <v>23</v>
      </c>
      <c r="Q8" s="38" t="s">
        <v>24</v>
      </c>
      <c r="R8" s="38"/>
      <c r="S8" s="38" t="s">
        <v>25</v>
      </c>
      <c r="T8" s="38"/>
      <c r="U8" s="39" t="s">
        <v>26</v>
      </c>
      <c r="V8" s="38" t="s">
        <v>23</v>
      </c>
      <c r="W8" s="41"/>
      <c r="X8" s="41"/>
    </row>
    <row r="9" spans="1:24" s="9" customFormat="1" x14ac:dyDescent="0.25">
      <c r="A9" s="39"/>
      <c r="B9" s="39"/>
      <c r="C9" s="39"/>
      <c r="D9" s="39"/>
      <c r="E9" s="39"/>
      <c r="F9" s="39"/>
      <c r="G9" s="39"/>
      <c r="H9" s="10" t="s">
        <v>27</v>
      </c>
      <c r="I9" s="10" t="s">
        <v>28</v>
      </c>
      <c r="J9" s="10" t="s">
        <v>27</v>
      </c>
      <c r="K9" s="11" t="s">
        <v>29</v>
      </c>
      <c r="L9" s="39"/>
      <c r="M9" s="39"/>
      <c r="N9" s="38"/>
      <c r="O9" s="38"/>
      <c r="P9" s="38"/>
      <c r="Q9" s="10" t="s">
        <v>2</v>
      </c>
      <c r="R9" s="11" t="s">
        <v>30</v>
      </c>
      <c r="S9" s="10" t="s">
        <v>2</v>
      </c>
      <c r="T9" s="11" t="s">
        <v>30</v>
      </c>
      <c r="U9" s="39"/>
      <c r="V9" s="38"/>
      <c r="W9" s="41"/>
      <c r="X9" s="41"/>
    </row>
    <row r="10" spans="1:24" ht="25.5" x14ac:dyDescent="0.2">
      <c r="A10" s="27" t="s">
        <v>44</v>
      </c>
      <c r="B10" s="27" t="s">
        <v>138</v>
      </c>
      <c r="C10" s="34" t="s">
        <v>135</v>
      </c>
      <c r="D10" s="29" t="s">
        <v>151</v>
      </c>
      <c r="E10" s="34" t="s">
        <v>152</v>
      </c>
      <c r="F10" s="34" t="s">
        <v>177</v>
      </c>
      <c r="G10" s="30" t="s">
        <v>31</v>
      </c>
      <c r="H10" s="27" t="s">
        <v>32</v>
      </c>
      <c r="I10" s="27" t="s">
        <v>33</v>
      </c>
      <c r="J10" s="27" t="s">
        <v>61</v>
      </c>
      <c r="K10" s="31" t="s">
        <v>62</v>
      </c>
      <c r="L10" s="35">
        <v>43047</v>
      </c>
      <c r="M10" s="35">
        <v>43049</v>
      </c>
      <c r="N10" s="31">
        <f>740.95/2</f>
        <v>370.47500000000002</v>
      </c>
      <c r="O10" s="31">
        <f>740.95/2</f>
        <v>370.47500000000002</v>
      </c>
      <c r="P10" s="31">
        <f t="shared" ref="P10:P30" si="0">N10+O10</f>
        <v>740.95</v>
      </c>
      <c r="Q10" s="27">
        <v>7</v>
      </c>
      <c r="R10" s="31">
        <v>120</v>
      </c>
      <c r="S10" s="27"/>
      <c r="T10" s="31"/>
      <c r="U10" s="32">
        <f t="shared" ref="U10" si="1">(Q10*R10)+(S10*T10)</f>
        <v>840</v>
      </c>
      <c r="V10" s="31">
        <f t="shared" ref="V10" si="2">P10+U10</f>
        <v>1580.95</v>
      </c>
      <c r="W10" s="31">
        <f t="shared" ref="W10" si="3">V10</f>
        <v>1580.95</v>
      </c>
      <c r="X10" s="28"/>
    </row>
    <row r="11" spans="1:24" ht="38.25" x14ac:dyDescent="0.2">
      <c r="A11" s="27" t="s">
        <v>44</v>
      </c>
      <c r="B11" s="27" t="s">
        <v>138</v>
      </c>
      <c r="C11" s="27" t="s">
        <v>178</v>
      </c>
      <c r="D11" s="29" t="s">
        <v>179</v>
      </c>
      <c r="E11" s="34" t="s">
        <v>206</v>
      </c>
      <c r="F11" s="34" t="s">
        <v>177</v>
      </c>
      <c r="G11" s="30" t="s">
        <v>31</v>
      </c>
      <c r="H11" s="27" t="s">
        <v>32</v>
      </c>
      <c r="I11" s="27" t="s">
        <v>33</v>
      </c>
      <c r="J11" s="27" t="s">
        <v>61</v>
      </c>
      <c r="K11" s="31" t="s">
        <v>62</v>
      </c>
      <c r="L11" s="35">
        <v>43047</v>
      </c>
      <c r="M11" s="35">
        <v>43049</v>
      </c>
      <c r="N11" s="31">
        <f>722/2</f>
        <v>361</v>
      </c>
      <c r="O11" s="31">
        <f>722/2</f>
        <v>361</v>
      </c>
      <c r="P11" s="31">
        <f t="shared" si="0"/>
        <v>722</v>
      </c>
      <c r="Q11" s="27">
        <v>3</v>
      </c>
      <c r="R11" s="31">
        <v>120</v>
      </c>
      <c r="S11" s="27"/>
      <c r="T11" s="31"/>
      <c r="U11" s="32">
        <f t="shared" ref="U11:U30" si="4">(Q11*R11)+(S11*T11)</f>
        <v>360</v>
      </c>
      <c r="V11" s="31">
        <f t="shared" ref="V11:V30" si="5">P11+U11</f>
        <v>1082</v>
      </c>
      <c r="W11" s="31">
        <f t="shared" ref="W11:W30" si="6">V11</f>
        <v>1082</v>
      </c>
      <c r="X11" s="33"/>
    </row>
    <row r="12" spans="1:24" ht="25.5" x14ac:dyDescent="0.2">
      <c r="A12" s="27" t="s">
        <v>34</v>
      </c>
      <c r="B12" s="27" t="s">
        <v>34</v>
      </c>
      <c r="C12" s="27" t="s">
        <v>46</v>
      </c>
      <c r="D12" s="29" t="s">
        <v>104</v>
      </c>
      <c r="E12" s="20" t="s">
        <v>55</v>
      </c>
      <c r="F12" s="34" t="s">
        <v>180</v>
      </c>
      <c r="G12" s="30" t="s">
        <v>31</v>
      </c>
      <c r="H12" s="27" t="s">
        <v>32</v>
      </c>
      <c r="I12" s="27" t="s">
        <v>33</v>
      </c>
      <c r="J12" s="27" t="s">
        <v>38</v>
      </c>
      <c r="K12" s="31" t="s">
        <v>39</v>
      </c>
      <c r="L12" s="35">
        <v>43046</v>
      </c>
      <c r="M12" s="35">
        <v>43048</v>
      </c>
      <c r="N12" s="31">
        <f>541.24/2</f>
        <v>270.62</v>
      </c>
      <c r="O12" s="31">
        <f>541.24/2</f>
        <v>270.62</v>
      </c>
      <c r="P12" s="31">
        <f t="shared" si="0"/>
        <v>541.24</v>
      </c>
      <c r="Q12" s="27"/>
      <c r="R12" s="31"/>
      <c r="S12" s="27"/>
      <c r="T12" s="31"/>
      <c r="U12" s="32">
        <f t="shared" si="4"/>
        <v>0</v>
      </c>
      <c r="V12" s="31">
        <f t="shared" si="5"/>
        <v>541.24</v>
      </c>
      <c r="W12" s="31">
        <f t="shared" si="6"/>
        <v>541.24</v>
      </c>
      <c r="X12" s="33"/>
    </row>
    <row r="13" spans="1:24" ht="38.25" x14ac:dyDescent="0.2">
      <c r="A13" s="27" t="s">
        <v>44</v>
      </c>
      <c r="B13" s="27" t="s">
        <v>44</v>
      </c>
      <c r="C13" s="27" t="s">
        <v>75</v>
      </c>
      <c r="D13" s="29" t="s">
        <v>104</v>
      </c>
      <c r="E13" s="20" t="s">
        <v>88</v>
      </c>
      <c r="F13" s="34" t="s">
        <v>180</v>
      </c>
      <c r="G13" s="30" t="s">
        <v>31</v>
      </c>
      <c r="H13" s="27" t="s">
        <v>32</v>
      </c>
      <c r="I13" s="27" t="s">
        <v>33</v>
      </c>
      <c r="J13" s="27" t="s">
        <v>38</v>
      </c>
      <c r="K13" s="31" t="s">
        <v>39</v>
      </c>
      <c r="L13" s="35">
        <v>43046</v>
      </c>
      <c r="M13" s="35">
        <v>43047</v>
      </c>
      <c r="N13" s="31">
        <f>587.02/2</f>
        <v>293.51</v>
      </c>
      <c r="O13" s="31">
        <f>587.02/2</f>
        <v>293.51</v>
      </c>
      <c r="P13" s="31">
        <f t="shared" si="0"/>
        <v>587.02</v>
      </c>
      <c r="Q13" s="27"/>
      <c r="R13" s="31"/>
      <c r="S13" s="27"/>
      <c r="T13" s="31"/>
      <c r="U13" s="32">
        <f t="shared" si="4"/>
        <v>0</v>
      </c>
      <c r="V13" s="31">
        <f t="shared" si="5"/>
        <v>587.02</v>
      </c>
      <c r="W13" s="31">
        <f t="shared" si="6"/>
        <v>587.02</v>
      </c>
      <c r="X13" s="33"/>
    </row>
    <row r="14" spans="1:24" ht="25.5" x14ac:dyDescent="0.2">
      <c r="A14" s="27" t="s">
        <v>34</v>
      </c>
      <c r="B14" s="27" t="s">
        <v>35</v>
      </c>
      <c r="C14" s="27" t="s">
        <v>36</v>
      </c>
      <c r="D14" s="29" t="s">
        <v>57</v>
      </c>
      <c r="E14" s="14" t="s">
        <v>52</v>
      </c>
      <c r="F14" s="34" t="s">
        <v>161</v>
      </c>
      <c r="G14" s="30" t="s">
        <v>31</v>
      </c>
      <c r="H14" s="27" t="s">
        <v>32</v>
      </c>
      <c r="I14" s="27" t="s">
        <v>33</v>
      </c>
      <c r="J14" s="27" t="s">
        <v>38</v>
      </c>
      <c r="K14" s="31" t="s">
        <v>39</v>
      </c>
      <c r="L14" s="35">
        <v>43046</v>
      </c>
      <c r="M14" s="35">
        <v>43049</v>
      </c>
      <c r="N14" s="31">
        <f>619.79/2</f>
        <v>309.89499999999998</v>
      </c>
      <c r="O14" s="31">
        <f>619.79/2</f>
        <v>309.89499999999998</v>
      </c>
      <c r="P14" s="31">
        <f t="shared" si="0"/>
        <v>619.79</v>
      </c>
      <c r="Q14" s="27">
        <v>4</v>
      </c>
      <c r="R14" s="31">
        <v>120</v>
      </c>
      <c r="S14" s="27"/>
      <c r="T14" s="31"/>
      <c r="U14" s="32">
        <f t="shared" si="4"/>
        <v>480</v>
      </c>
      <c r="V14" s="31">
        <f t="shared" si="5"/>
        <v>1099.79</v>
      </c>
      <c r="W14" s="31">
        <f t="shared" si="6"/>
        <v>1099.79</v>
      </c>
      <c r="X14" s="33"/>
    </row>
    <row r="15" spans="1:24" ht="25.5" x14ac:dyDescent="0.2">
      <c r="A15" s="27" t="s">
        <v>49</v>
      </c>
      <c r="B15" s="27" t="s">
        <v>49</v>
      </c>
      <c r="C15" s="27" t="s">
        <v>80</v>
      </c>
      <c r="D15" s="29" t="s">
        <v>104</v>
      </c>
      <c r="E15" s="20" t="s">
        <v>90</v>
      </c>
      <c r="F15" s="34" t="s">
        <v>182</v>
      </c>
      <c r="G15" s="30" t="s">
        <v>31</v>
      </c>
      <c r="H15" s="27" t="s">
        <v>32</v>
      </c>
      <c r="I15" s="27" t="s">
        <v>33</v>
      </c>
      <c r="J15" s="27" t="s">
        <v>139</v>
      </c>
      <c r="K15" s="31" t="s">
        <v>181</v>
      </c>
      <c r="L15" s="35">
        <v>43061</v>
      </c>
      <c r="M15" s="35">
        <v>43062</v>
      </c>
      <c r="N15" s="31">
        <f>738.28/2</f>
        <v>369.14</v>
      </c>
      <c r="O15" s="31">
        <f>738.28/2</f>
        <v>369.14</v>
      </c>
      <c r="P15" s="31">
        <f t="shared" si="0"/>
        <v>738.28</v>
      </c>
      <c r="Q15" s="27"/>
      <c r="R15" s="31"/>
      <c r="S15" s="27"/>
      <c r="T15" s="31"/>
      <c r="U15" s="32">
        <f t="shared" si="4"/>
        <v>0</v>
      </c>
      <c r="V15" s="31">
        <f t="shared" si="5"/>
        <v>738.28</v>
      </c>
      <c r="W15" s="31">
        <f t="shared" si="6"/>
        <v>738.28</v>
      </c>
      <c r="X15" s="33"/>
    </row>
    <row r="16" spans="1:24" ht="25.5" x14ac:dyDescent="0.2">
      <c r="A16" s="27" t="s">
        <v>49</v>
      </c>
      <c r="B16" s="27" t="s">
        <v>50</v>
      </c>
      <c r="C16" s="27" t="s">
        <v>48</v>
      </c>
      <c r="D16" s="29" t="s">
        <v>81</v>
      </c>
      <c r="E16" s="20" t="s">
        <v>56</v>
      </c>
      <c r="F16" s="34" t="s">
        <v>182</v>
      </c>
      <c r="G16" s="30" t="s">
        <v>31</v>
      </c>
      <c r="H16" s="27" t="s">
        <v>32</v>
      </c>
      <c r="I16" s="27" t="s">
        <v>33</v>
      </c>
      <c r="J16" s="27" t="s">
        <v>139</v>
      </c>
      <c r="K16" s="31" t="s">
        <v>181</v>
      </c>
      <c r="L16" s="35">
        <v>43061</v>
      </c>
      <c r="M16" s="35">
        <v>43062</v>
      </c>
      <c r="N16" s="31">
        <f>738.28/2</f>
        <v>369.14</v>
      </c>
      <c r="O16" s="31">
        <f>738.28/2</f>
        <v>369.14</v>
      </c>
      <c r="P16" s="31">
        <f t="shared" si="0"/>
        <v>738.28</v>
      </c>
      <c r="Q16" s="27">
        <v>4</v>
      </c>
      <c r="R16" s="31">
        <v>120</v>
      </c>
      <c r="S16" s="27"/>
      <c r="T16" s="31"/>
      <c r="U16" s="32">
        <f t="shared" si="4"/>
        <v>480</v>
      </c>
      <c r="V16" s="31">
        <f t="shared" si="5"/>
        <v>1218.28</v>
      </c>
      <c r="W16" s="31">
        <f t="shared" si="6"/>
        <v>1218.28</v>
      </c>
      <c r="X16" s="33"/>
    </row>
    <row r="17" spans="1:24" ht="25.5" x14ac:dyDescent="0.2">
      <c r="A17" s="27" t="s">
        <v>49</v>
      </c>
      <c r="B17" s="27" t="s">
        <v>125</v>
      </c>
      <c r="C17" s="27" t="s">
        <v>123</v>
      </c>
      <c r="D17" s="29" t="s">
        <v>124</v>
      </c>
      <c r="E17" s="34" t="s">
        <v>132</v>
      </c>
      <c r="F17" s="34" t="s">
        <v>187</v>
      </c>
      <c r="G17" s="30" t="s">
        <v>31</v>
      </c>
      <c r="H17" s="27" t="s">
        <v>32</v>
      </c>
      <c r="I17" s="27" t="s">
        <v>33</v>
      </c>
      <c r="J17" s="27" t="s">
        <v>106</v>
      </c>
      <c r="K17" s="31" t="s">
        <v>107</v>
      </c>
      <c r="L17" s="35">
        <v>43062</v>
      </c>
      <c r="M17" s="35">
        <v>43063</v>
      </c>
      <c r="N17" s="31">
        <f>1110.08/2</f>
        <v>555.04</v>
      </c>
      <c r="O17" s="31">
        <f>1110.08/2</f>
        <v>555.04</v>
      </c>
      <c r="P17" s="31">
        <f t="shared" si="0"/>
        <v>1110.08</v>
      </c>
      <c r="Q17" s="27">
        <v>2</v>
      </c>
      <c r="R17" s="31">
        <v>120</v>
      </c>
      <c r="S17" s="27"/>
      <c r="T17" s="31"/>
      <c r="U17" s="32">
        <f t="shared" si="4"/>
        <v>240</v>
      </c>
      <c r="V17" s="31">
        <f t="shared" si="5"/>
        <v>1350.08</v>
      </c>
      <c r="W17" s="31">
        <f t="shared" si="6"/>
        <v>1350.08</v>
      </c>
      <c r="X17" s="33"/>
    </row>
    <row r="18" spans="1:24" ht="38.25" x14ac:dyDescent="0.2">
      <c r="A18" s="27" t="s">
        <v>34</v>
      </c>
      <c r="B18" s="27" t="s">
        <v>109</v>
      </c>
      <c r="C18" s="27" t="s">
        <v>183</v>
      </c>
      <c r="D18" s="29" t="s">
        <v>188</v>
      </c>
      <c r="E18" s="20" t="s">
        <v>207</v>
      </c>
      <c r="F18" s="34" t="s">
        <v>187</v>
      </c>
      <c r="G18" s="30" t="s">
        <v>31</v>
      </c>
      <c r="H18" s="27" t="s">
        <v>32</v>
      </c>
      <c r="I18" s="27" t="s">
        <v>33</v>
      </c>
      <c r="J18" s="27" t="s">
        <v>106</v>
      </c>
      <c r="K18" s="31" t="s">
        <v>107</v>
      </c>
      <c r="L18" s="35">
        <v>43062</v>
      </c>
      <c r="M18" s="35">
        <v>43063</v>
      </c>
      <c r="N18" s="31">
        <f>2001.08/2</f>
        <v>1000.54</v>
      </c>
      <c r="O18" s="31">
        <f>2001.08/2</f>
        <v>1000.54</v>
      </c>
      <c r="P18" s="31">
        <f t="shared" si="0"/>
        <v>2001.08</v>
      </c>
      <c r="Q18" s="27">
        <v>2</v>
      </c>
      <c r="R18" s="31">
        <v>120</v>
      </c>
      <c r="S18" s="27"/>
      <c r="T18" s="31"/>
      <c r="U18" s="32">
        <f t="shared" si="4"/>
        <v>240</v>
      </c>
      <c r="V18" s="31">
        <f t="shared" si="5"/>
        <v>2241.08</v>
      </c>
      <c r="W18" s="31">
        <f t="shared" si="6"/>
        <v>2241.08</v>
      </c>
      <c r="X18" s="33"/>
    </row>
    <row r="19" spans="1:24" ht="51" x14ac:dyDescent="0.2">
      <c r="A19" s="27" t="s">
        <v>34</v>
      </c>
      <c r="B19" s="27" t="s">
        <v>186</v>
      </c>
      <c r="C19" s="27" t="s">
        <v>184</v>
      </c>
      <c r="D19" s="29" t="s">
        <v>189</v>
      </c>
      <c r="E19" s="14" t="s">
        <v>208</v>
      </c>
      <c r="F19" s="34" t="s">
        <v>187</v>
      </c>
      <c r="G19" s="30" t="s">
        <v>31</v>
      </c>
      <c r="H19" s="27" t="s">
        <v>32</v>
      </c>
      <c r="I19" s="27" t="s">
        <v>33</v>
      </c>
      <c r="J19" s="27" t="s">
        <v>106</v>
      </c>
      <c r="K19" s="31" t="s">
        <v>107</v>
      </c>
      <c r="L19" s="35">
        <v>43062</v>
      </c>
      <c r="M19" s="35">
        <v>43063</v>
      </c>
      <c r="N19" s="31">
        <f>1506.07/2</f>
        <v>753.03499999999997</v>
      </c>
      <c r="O19" s="31">
        <f>1506.07/2</f>
        <v>753.03499999999997</v>
      </c>
      <c r="P19" s="31">
        <f t="shared" si="0"/>
        <v>1506.07</v>
      </c>
      <c r="Q19" s="27">
        <v>2</v>
      </c>
      <c r="R19" s="31">
        <v>120</v>
      </c>
      <c r="S19" s="27"/>
      <c r="T19" s="31"/>
      <c r="U19" s="32">
        <f t="shared" si="4"/>
        <v>240</v>
      </c>
      <c r="V19" s="31">
        <f t="shared" si="5"/>
        <v>1746.07</v>
      </c>
      <c r="W19" s="31">
        <f t="shared" si="6"/>
        <v>1746.07</v>
      </c>
      <c r="X19" s="33"/>
    </row>
    <row r="20" spans="1:24" ht="25.5" x14ac:dyDescent="0.2">
      <c r="A20" s="27" t="s">
        <v>34</v>
      </c>
      <c r="B20" s="27" t="s">
        <v>186</v>
      </c>
      <c r="C20" s="27" t="s">
        <v>185</v>
      </c>
      <c r="D20" s="29" t="s">
        <v>190</v>
      </c>
      <c r="E20" s="20" t="s">
        <v>129</v>
      </c>
      <c r="F20" s="34" t="s">
        <v>187</v>
      </c>
      <c r="G20" s="30" t="s">
        <v>31</v>
      </c>
      <c r="H20" s="27" t="s">
        <v>32</v>
      </c>
      <c r="I20" s="27" t="s">
        <v>33</v>
      </c>
      <c r="J20" s="27" t="s">
        <v>106</v>
      </c>
      <c r="K20" s="31" t="s">
        <v>107</v>
      </c>
      <c r="L20" s="35">
        <v>43062</v>
      </c>
      <c r="M20" s="35">
        <v>43063</v>
      </c>
      <c r="N20" s="31">
        <f>1506.08/2</f>
        <v>753.04</v>
      </c>
      <c r="O20" s="31">
        <f>1506.08/2</f>
        <v>753.04</v>
      </c>
      <c r="P20" s="31">
        <f t="shared" si="0"/>
        <v>1506.08</v>
      </c>
      <c r="Q20" s="27">
        <v>2</v>
      </c>
      <c r="R20" s="31">
        <v>120</v>
      </c>
      <c r="S20" s="27"/>
      <c r="T20" s="31"/>
      <c r="U20" s="32">
        <f t="shared" si="4"/>
        <v>240</v>
      </c>
      <c r="V20" s="31">
        <f t="shared" si="5"/>
        <v>1746.08</v>
      </c>
      <c r="W20" s="31">
        <f t="shared" si="6"/>
        <v>1746.08</v>
      </c>
      <c r="X20" s="33"/>
    </row>
    <row r="21" spans="1:24" ht="38.25" x14ac:dyDescent="0.2">
      <c r="A21" s="27" t="s">
        <v>44</v>
      </c>
      <c r="B21" s="27" t="s">
        <v>193</v>
      </c>
      <c r="C21" s="27" t="s">
        <v>191</v>
      </c>
      <c r="D21" s="29" t="s">
        <v>196</v>
      </c>
      <c r="E21" s="20" t="s">
        <v>209</v>
      </c>
      <c r="F21" s="34" t="s">
        <v>198</v>
      </c>
      <c r="G21" s="30" t="s">
        <v>31</v>
      </c>
      <c r="H21" s="27" t="s">
        <v>32</v>
      </c>
      <c r="I21" s="27" t="s">
        <v>33</v>
      </c>
      <c r="J21" s="27" t="s">
        <v>195</v>
      </c>
      <c r="K21" s="31" t="s">
        <v>194</v>
      </c>
      <c r="L21" s="35">
        <v>43061</v>
      </c>
      <c r="M21" s="35">
        <v>43063</v>
      </c>
      <c r="N21" s="31">
        <f>1461.64/2</f>
        <v>730.82</v>
      </c>
      <c r="O21" s="31">
        <f>1461.64/2</f>
        <v>730.82</v>
      </c>
      <c r="P21" s="31">
        <f t="shared" si="0"/>
        <v>1461.64</v>
      </c>
      <c r="Q21" s="27">
        <v>3</v>
      </c>
      <c r="R21" s="31">
        <v>120</v>
      </c>
      <c r="S21" s="27"/>
      <c r="T21" s="31"/>
      <c r="U21" s="32">
        <f t="shared" si="4"/>
        <v>360</v>
      </c>
      <c r="V21" s="31">
        <f t="shared" si="5"/>
        <v>1821.64</v>
      </c>
      <c r="W21" s="31">
        <f t="shared" si="6"/>
        <v>1821.64</v>
      </c>
      <c r="X21" s="33"/>
    </row>
    <row r="22" spans="1:24" ht="25.5" x14ac:dyDescent="0.2">
      <c r="A22" s="27" t="s">
        <v>44</v>
      </c>
      <c r="B22" s="27" t="s">
        <v>193</v>
      </c>
      <c r="C22" s="27" t="s">
        <v>192</v>
      </c>
      <c r="D22" s="29" t="s">
        <v>197</v>
      </c>
      <c r="E22" s="20" t="s">
        <v>210</v>
      </c>
      <c r="F22" s="34" t="s">
        <v>198</v>
      </c>
      <c r="G22" s="30" t="s">
        <v>31</v>
      </c>
      <c r="H22" s="27" t="s">
        <v>32</v>
      </c>
      <c r="I22" s="27" t="s">
        <v>33</v>
      </c>
      <c r="J22" s="27" t="s">
        <v>195</v>
      </c>
      <c r="K22" s="31" t="s">
        <v>194</v>
      </c>
      <c r="L22" s="35">
        <v>43061</v>
      </c>
      <c r="M22" s="35">
        <v>43063</v>
      </c>
      <c r="N22" s="31">
        <f>1461.54/2</f>
        <v>730.77</v>
      </c>
      <c r="O22" s="31">
        <f>1461.54/2</f>
        <v>730.77</v>
      </c>
      <c r="P22" s="31">
        <f t="shared" si="0"/>
        <v>1461.54</v>
      </c>
      <c r="Q22" s="27">
        <v>6</v>
      </c>
      <c r="R22" s="31">
        <v>120</v>
      </c>
      <c r="S22" s="27"/>
      <c r="T22" s="31"/>
      <c r="U22" s="32">
        <f t="shared" si="4"/>
        <v>720</v>
      </c>
      <c r="V22" s="31">
        <f t="shared" si="5"/>
        <v>2181.54</v>
      </c>
      <c r="W22" s="31">
        <f t="shared" si="6"/>
        <v>2181.54</v>
      </c>
      <c r="X22" s="33"/>
    </row>
    <row r="23" spans="1:24" ht="25.5" x14ac:dyDescent="0.2">
      <c r="A23" s="27" t="s">
        <v>49</v>
      </c>
      <c r="B23" s="27" t="s">
        <v>49</v>
      </c>
      <c r="C23" s="27" t="s">
        <v>80</v>
      </c>
      <c r="D23" s="29" t="s">
        <v>104</v>
      </c>
      <c r="E23" s="20" t="s">
        <v>90</v>
      </c>
      <c r="F23" s="34" t="s">
        <v>199</v>
      </c>
      <c r="G23" s="30" t="s">
        <v>31</v>
      </c>
      <c r="H23" s="27" t="s">
        <v>32</v>
      </c>
      <c r="I23" s="27" t="s">
        <v>33</v>
      </c>
      <c r="J23" s="27" t="s">
        <v>38</v>
      </c>
      <c r="K23" s="31" t="s">
        <v>39</v>
      </c>
      <c r="L23" s="35">
        <v>43065</v>
      </c>
      <c r="M23" s="35">
        <v>43067</v>
      </c>
      <c r="N23" s="31">
        <f>1709.58/2</f>
        <v>854.79</v>
      </c>
      <c r="O23" s="31"/>
      <c r="P23" s="31">
        <f t="shared" si="0"/>
        <v>854.79</v>
      </c>
      <c r="Q23" s="27"/>
      <c r="R23" s="31"/>
      <c r="S23" s="27"/>
      <c r="T23" s="31"/>
      <c r="U23" s="32">
        <f t="shared" si="4"/>
        <v>0</v>
      </c>
      <c r="V23" s="31">
        <f t="shared" si="5"/>
        <v>854.79</v>
      </c>
      <c r="W23" s="31">
        <f t="shared" si="6"/>
        <v>854.79</v>
      </c>
      <c r="X23" s="33"/>
    </row>
    <row r="24" spans="1:24" ht="25.5" x14ac:dyDescent="0.2">
      <c r="A24" s="27" t="s">
        <v>49</v>
      </c>
      <c r="B24" s="27" t="s">
        <v>49</v>
      </c>
      <c r="C24" s="27" t="s">
        <v>80</v>
      </c>
      <c r="D24" s="29" t="s">
        <v>104</v>
      </c>
      <c r="E24" s="20" t="s">
        <v>90</v>
      </c>
      <c r="F24" s="34" t="s">
        <v>200</v>
      </c>
      <c r="G24" s="30" t="s">
        <v>31</v>
      </c>
      <c r="H24" s="27" t="s">
        <v>38</v>
      </c>
      <c r="I24" s="31" t="s">
        <v>39</v>
      </c>
      <c r="J24" s="27" t="s">
        <v>61</v>
      </c>
      <c r="K24" s="31" t="s">
        <v>62</v>
      </c>
      <c r="L24" s="35">
        <v>43067</v>
      </c>
      <c r="M24" s="35">
        <v>43068</v>
      </c>
      <c r="N24" s="31">
        <f>1709.58/2</f>
        <v>854.79</v>
      </c>
      <c r="O24" s="31"/>
      <c r="P24" s="31">
        <f t="shared" si="0"/>
        <v>854.79</v>
      </c>
      <c r="Q24" s="27"/>
      <c r="R24" s="31"/>
      <c r="S24" s="27"/>
      <c r="T24" s="31"/>
      <c r="U24" s="32">
        <f t="shared" si="4"/>
        <v>0</v>
      </c>
      <c r="V24" s="31">
        <f t="shared" si="5"/>
        <v>854.79</v>
      </c>
      <c r="W24" s="31">
        <f t="shared" si="6"/>
        <v>854.79</v>
      </c>
      <c r="X24" s="33"/>
    </row>
    <row r="25" spans="1:24" ht="25.5" x14ac:dyDescent="0.2">
      <c r="A25" s="27" t="s">
        <v>49</v>
      </c>
      <c r="B25" s="27" t="s">
        <v>49</v>
      </c>
      <c r="C25" s="27" t="s">
        <v>80</v>
      </c>
      <c r="D25" s="29" t="s">
        <v>104</v>
      </c>
      <c r="E25" s="20" t="s">
        <v>90</v>
      </c>
      <c r="F25" s="34" t="s">
        <v>200</v>
      </c>
      <c r="G25" s="30" t="s">
        <v>31</v>
      </c>
      <c r="H25" s="27" t="s">
        <v>61</v>
      </c>
      <c r="I25" s="31" t="s">
        <v>62</v>
      </c>
      <c r="J25" s="27" t="s">
        <v>32</v>
      </c>
      <c r="K25" s="27" t="s">
        <v>33</v>
      </c>
      <c r="L25" s="35">
        <v>43068</v>
      </c>
      <c r="M25" s="35">
        <v>43068</v>
      </c>
      <c r="N25" s="31"/>
      <c r="O25" s="31">
        <v>439.8</v>
      </c>
      <c r="P25" s="31">
        <f t="shared" si="0"/>
        <v>439.8</v>
      </c>
      <c r="Q25" s="27"/>
      <c r="R25" s="31"/>
      <c r="S25" s="27"/>
      <c r="T25" s="31"/>
      <c r="U25" s="32">
        <f t="shared" si="4"/>
        <v>0</v>
      </c>
      <c r="V25" s="31">
        <f t="shared" si="5"/>
        <v>439.8</v>
      </c>
      <c r="W25" s="31">
        <f t="shared" si="6"/>
        <v>439.8</v>
      </c>
      <c r="X25" s="33"/>
    </row>
    <row r="26" spans="1:24" ht="25.5" x14ac:dyDescent="0.2">
      <c r="A26" s="27" t="s">
        <v>49</v>
      </c>
      <c r="B26" s="27" t="s">
        <v>50</v>
      </c>
      <c r="C26" s="27" t="s">
        <v>48</v>
      </c>
      <c r="D26" s="29" t="s">
        <v>81</v>
      </c>
      <c r="E26" s="20" t="s">
        <v>56</v>
      </c>
      <c r="F26" s="34" t="s">
        <v>199</v>
      </c>
      <c r="G26" s="30" t="s">
        <v>31</v>
      </c>
      <c r="H26" s="27" t="s">
        <v>32</v>
      </c>
      <c r="I26" s="27" t="s">
        <v>33</v>
      </c>
      <c r="J26" s="27" t="s">
        <v>38</v>
      </c>
      <c r="K26" s="31" t="s">
        <v>39</v>
      </c>
      <c r="L26" s="35">
        <v>43065</v>
      </c>
      <c r="M26" s="35">
        <v>43067</v>
      </c>
      <c r="N26" s="31">
        <f>1709.58/2</f>
        <v>854.79</v>
      </c>
      <c r="O26" s="31"/>
      <c r="P26" s="31">
        <f t="shared" si="0"/>
        <v>854.79</v>
      </c>
      <c r="Q26" s="27"/>
      <c r="R26" s="31"/>
      <c r="S26" s="27"/>
      <c r="T26" s="31"/>
      <c r="U26" s="32">
        <f t="shared" si="4"/>
        <v>0</v>
      </c>
      <c r="V26" s="31">
        <f t="shared" si="5"/>
        <v>854.79</v>
      </c>
      <c r="W26" s="31">
        <f t="shared" si="6"/>
        <v>854.79</v>
      </c>
      <c r="X26" s="33"/>
    </row>
    <row r="27" spans="1:24" ht="25.5" x14ac:dyDescent="0.2">
      <c r="A27" s="27" t="s">
        <v>49</v>
      </c>
      <c r="B27" s="27" t="s">
        <v>50</v>
      </c>
      <c r="C27" s="27" t="s">
        <v>48</v>
      </c>
      <c r="D27" s="29" t="s">
        <v>81</v>
      </c>
      <c r="E27" s="20" t="s">
        <v>56</v>
      </c>
      <c r="F27" s="34" t="s">
        <v>200</v>
      </c>
      <c r="G27" s="30" t="s">
        <v>31</v>
      </c>
      <c r="H27" s="27" t="s">
        <v>38</v>
      </c>
      <c r="I27" s="31" t="s">
        <v>39</v>
      </c>
      <c r="J27" s="27" t="s">
        <v>61</v>
      </c>
      <c r="K27" s="31" t="s">
        <v>62</v>
      </c>
      <c r="L27" s="35">
        <v>43067</v>
      </c>
      <c r="M27" s="35">
        <v>43068</v>
      </c>
      <c r="N27" s="31">
        <f>1709.58/2</f>
        <v>854.79</v>
      </c>
      <c r="O27" s="31"/>
      <c r="P27" s="31">
        <f t="shared" si="0"/>
        <v>854.79</v>
      </c>
      <c r="Q27" s="27"/>
      <c r="R27" s="31"/>
      <c r="S27" s="27"/>
      <c r="T27" s="31"/>
      <c r="U27" s="32">
        <f t="shared" si="4"/>
        <v>0</v>
      </c>
      <c r="V27" s="31">
        <f t="shared" si="5"/>
        <v>854.79</v>
      </c>
      <c r="W27" s="31">
        <f t="shared" si="6"/>
        <v>854.79</v>
      </c>
      <c r="X27" s="33"/>
    </row>
    <row r="28" spans="1:24" ht="25.5" x14ac:dyDescent="0.2">
      <c r="A28" s="27" t="s">
        <v>49</v>
      </c>
      <c r="B28" s="27" t="s">
        <v>50</v>
      </c>
      <c r="C28" s="27" t="s">
        <v>48</v>
      </c>
      <c r="D28" s="29" t="s">
        <v>81</v>
      </c>
      <c r="E28" s="20" t="s">
        <v>56</v>
      </c>
      <c r="F28" s="34" t="s">
        <v>200</v>
      </c>
      <c r="G28" s="30" t="s">
        <v>31</v>
      </c>
      <c r="H28" s="27" t="s">
        <v>61</v>
      </c>
      <c r="I28" s="31" t="s">
        <v>62</v>
      </c>
      <c r="J28" s="27" t="s">
        <v>32</v>
      </c>
      <c r="K28" s="27" t="s">
        <v>33</v>
      </c>
      <c r="L28" s="35">
        <v>43068</v>
      </c>
      <c r="M28" s="35">
        <v>43068</v>
      </c>
      <c r="N28" s="31">
        <v>439.8</v>
      </c>
      <c r="O28" s="31">
        <v>0</v>
      </c>
      <c r="P28" s="31">
        <f t="shared" si="0"/>
        <v>439.8</v>
      </c>
      <c r="Q28" s="27"/>
      <c r="R28" s="31"/>
      <c r="S28" s="27"/>
      <c r="T28" s="31"/>
      <c r="U28" s="32">
        <f t="shared" si="4"/>
        <v>0</v>
      </c>
      <c r="V28" s="31">
        <f t="shared" si="5"/>
        <v>439.8</v>
      </c>
      <c r="W28" s="31">
        <f t="shared" si="6"/>
        <v>439.8</v>
      </c>
      <c r="X28" s="33"/>
    </row>
    <row r="29" spans="1:24" ht="25.5" x14ac:dyDescent="0.2">
      <c r="A29" s="27" t="s">
        <v>34</v>
      </c>
      <c r="B29" s="27" t="s">
        <v>34</v>
      </c>
      <c r="C29" s="27" t="s">
        <v>46</v>
      </c>
      <c r="D29" s="29" t="s">
        <v>104</v>
      </c>
      <c r="E29" s="20" t="s">
        <v>55</v>
      </c>
      <c r="F29" s="34" t="s">
        <v>199</v>
      </c>
      <c r="G29" s="30" t="s">
        <v>31</v>
      </c>
      <c r="H29" s="27" t="s">
        <v>32</v>
      </c>
      <c r="I29" s="27" t="s">
        <v>33</v>
      </c>
      <c r="J29" s="27" t="s">
        <v>38</v>
      </c>
      <c r="K29" s="31" t="s">
        <v>39</v>
      </c>
      <c r="L29" s="35">
        <v>43065</v>
      </c>
      <c r="M29" s="35">
        <v>43069</v>
      </c>
      <c r="N29" s="31">
        <f>890.69/2</f>
        <v>445.34500000000003</v>
      </c>
      <c r="O29" s="31">
        <f>890.69/2</f>
        <v>445.34500000000003</v>
      </c>
      <c r="P29" s="31">
        <f t="shared" si="0"/>
        <v>890.69</v>
      </c>
      <c r="Q29" s="27"/>
      <c r="R29" s="31"/>
      <c r="S29" s="27"/>
      <c r="T29" s="31"/>
      <c r="U29" s="32">
        <f t="shared" si="4"/>
        <v>0</v>
      </c>
      <c r="V29" s="31">
        <f t="shared" si="5"/>
        <v>890.69</v>
      </c>
      <c r="W29" s="31">
        <f t="shared" si="6"/>
        <v>890.69</v>
      </c>
      <c r="X29" s="33"/>
    </row>
    <row r="30" spans="1:24" ht="25.5" x14ac:dyDescent="0.2">
      <c r="A30" s="27" t="s">
        <v>44</v>
      </c>
      <c r="B30" s="27" t="s">
        <v>45</v>
      </c>
      <c r="C30" s="27" t="s">
        <v>201</v>
      </c>
      <c r="D30" s="29" t="s">
        <v>204</v>
      </c>
      <c r="E30" s="20" t="s">
        <v>211</v>
      </c>
      <c r="F30" s="34" t="s">
        <v>205</v>
      </c>
      <c r="G30" s="30" t="s">
        <v>31</v>
      </c>
      <c r="H30" s="27" t="s">
        <v>32</v>
      </c>
      <c r="I30" s="27" t="s">
        <v>33</v>
      </c>
      <c r="J30" s="27" t="s">
        <v>203</v>
      </c>
      <c r="K30" s="31" t="s">
        <v>202</v>
      </c>
      <c r="L30" s="35">
        <v>43068</v>
      </c>
      <c r="M30" s="35">
        <v>43070</v>
      </c>
      <c r="N30" s="31">
        <f>971.48/2</f>
        <v>485.74</v>
      </c>
      <c r="O30" s="31">
        <f>971.48/2</f>
        <v>485.74</v>
      </c>
      <c r="P30" s="31">
        <f t="shared" si="0"/>
        <v>971.48</v>
      </c>
      <c r="Q30" s="27">
        <v>4</v>
      </c>
      <c r="R30" s="31">
        <v>120</v>
      </c>
      <c r="S30" s="27"/>
      <c r="T30" s="31"/>
      <c r="U30" s="32">
        <f t="shared" si="4"/>
        <v>480</v>
      </c>
      <c r="V30" s="31">
        <f t="shared" si="5"/>
        <v>1451.48</v>
      </c>
      <c r="W30" s="31">
        <f t="shared" si="6"/>
        <v>1451.48</v>
      </c>
      <c r="X30" s="33"/>
    </row>
  </sheetData>
  <mergeCells count="27">
    <mergeCell ref="V5:W5"/>
    <mergeCell ref="A6:X6"/>
    <mergeCell ref="A7:B7"/>
    <mergeCell ref="C7:E7"/>
    <mergeCell ref="F7:M7"/>
    <mergeCell ref="N7:P7"/>
    <mergeCell ref="Q7:V7"/>
    <mergeCell ref="W7:W9"/>
    <mergeCell ref="X7:X9"/>
    <mergeCell ref="A8:A9"/>
    <mergeCell ref="O8:O9"/>
    <mergeCell ref="B8:B9"/>
    <mergeCell ref="C8:C9"/>
    <mergeCell ref="D8:D9"/>
    <mergeCell ref="E8:E9"/>
    <mergeCell ref="F8:F9"/>
    <mergeCell ref="G8:G9"/>
    <mergeCell ref="H8:I8"/>
    <mergeCell ref="J8:K8"/>
    <mergeCell ref="L8:L9"/>
    <mergeCell ref="M8:M9"/>
    <mergeCell ref="V8:V9"/>
    <mergeCell ref="N8:N9"/>
    <mergeCell ref="P8:P9"/>
    <mergeCell ref="Q8:R8"/>
    <mergeCell ref="S8:T8"/>
    <mergeCell ref="U8:U9"/>
  </mergeCells>
  <pageMargins left="0" right="0" top="0.39370078740157505" bottom="0.39370078740157505" header="0" footer="0"/>
  <pageSetup paperSize="0" fitToWidth="0" fitToHeight="0" pageOrder="overThenDown" horizontalDpi="0" verticalDpi="0" copies="0"/>
  <headerFooter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workbookViewId="0">
      <selection activeCell="E13" sqref="E13"/>
    </sheetView>
  </sheetViews>
  <sheetFormatPr defaultRowHeight="15" customHeight="1" x14ac:dyDescent="0.2"/>
  <cols>
    <col min="1" max="1" width="8.625" customWidth="1"/>
    <col min="2" max="2" width="15.375" customWidth="1"/>
    <col min="3" max="3" width="46" bestFit="1" customWidth="1"/>
    <col min="4" max="4" width="12" customWidth="1"/>
    <col min="5" max="5" width="17.5" customWidth="1"/>
    <col min="6" max="6" width="35.125" customWidth="1"/>
    <col min="7" max="7" width="11.25" customWidth="1"/>
    <col min="8" max="8" width="4.75" customWidth="1"/>
    <col min="9" max="9" width="16.5" customWidth="1"/>
    <col min="10" max="10" width="4" customWidth="1"/>
    <col min="11" max="11" width="16.75" customWidth="1"/>
    <col min="12" max="12" width="12.125" customWidth="1"/>
    <col min="13" max="13" width="12.25" customWidth="1"/>
    <col min="14" max="14" width="14" customWidth="1"/>
    <col min="15" max="15" width="14.25" customWidth="1"/>
    <col min="16" max="1024" width="18" customWidth="1"/>
    <col min="1025" max="1025" width="9" customWidth="1"/>
  </cols>
  <sheetData>
    <row r="1" spans="1:24" ht="14.2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4.2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3.2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40" t="s">
        <v>0</v>
      </c>
      <c r="W5" s="40"/>
      <c r="X5" s="8">
        <v>43009</v>
      </c>
    </row>
    <row r="6" spans="1:24" x14ac:dyDescent="0.25">
      <c r="A6" s="41" t="s">
        <v>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</row>
    <row r="7" spans="1:24" x14ac:dyDescent="0.25">
      <c r="A7" s="41" t="s">
        <v>5</v>
      </c>
      <c r="B7" s="41"/>
      <c r="C7" s="41" t="s">
        <v>6</v>
      </c>
      <c r="D7" s="41"/>
      <c r="E7" s="41"/>
      <c r="F7" s="41" t="s">
        <v>3</v>
      </c>
      <c r="G7" s="41"/>
      <c r="H7" s="41"/>
      <c r="I7" s="41"/>
      <c r="J7" s="41"/>
      <c r="K7" s="41"/>
      <c r="L7" s="41"/>
      <c r="M7" s="41"/>
      <c r="N7" s="41" t="s">
        <v>7</v>
      </c>
      <c r="O7" s="41"/>
      <c r="P7" s="41"/>
      <c r="Q7" s="41" t="s">
        <v>1</v>
      </c>
      <c r="R7" s="41"/>
      <c r="S7" s="41"/>
      <c r="T7" s="41"/>
      <c r="U7" s="41"/>
      <c r="V7" s="41"/>
      <c r="W7" s="41" t="s">
        <v>8</v>
      </c>
      <c r="X7" s="41" t="s">
        <v>9</v>
      </c>
    </row>
    <row r="8" spans="1:24" s="9" customFormat="1" x14ac:dyDescent="0.25">
      <c r="A8" s="39" t="s">
        <v>10</v>
      </c>
      <c r="B8" s="39" t="s">
        <v>11</v>
      </c>
      <c r="C8" s="39" t="s">
        <v>12</v>
      </c>
      <c r="D8" s="39" t="s">
        <v>13</v>
      </c>
      <c r="E8" s="39" t="s">
        <v>14</v>
      </c>
      <c r="F8" s="39" t="s">
        <v>15</v>
      </c>
      <c r="G8" s="39" t="s">
        <v>16</v>
      </c>
      <c r="H8" s="39" t="s">
        <v>17</v>
      </c>
      <c r="I8" s="39"/>
      <c r="J8" s="38" t="s">
        <v>18</v>
      </c>
      <c r="K8" s="38"/>
      <c r="L8" s="39" t="s">
        <v>19</v>
      </c>
      <c r="M8" s="39" t="s">
        <v>20</v>
      </c>
      <c r="N8" s="38" t="s">
        <v>21</v>
      </c>
      <c r="O8" s="38" t="s">
        <v>22</v>
      </c>
      <c r="P8" s="38" t="s">
        <v>23</v>
      </c>
      <c r="Q8" s="38" t="s">
        <v>24</v>
      </c>
      <c r="R8" s="38"/>
      <c r="S8" s="38" t="s">
        <v>25</v>
      </c>
      <c r="T8" s="38"/>
      <c r="U8" s="39" t="s">
        <v>26</v>
      </c>
      <c r="V8" s="38" t="s">
        <v>23</v>
      </c>
      <c r="W8" s="41"/>
      <c r="X8" s="41"/>
    </row>
    <row r="9" spans="1:24" s="9" customFormat="1" x14ac:dyDescent="0.25">
      <c r="A9" s="39"/>
      <c r="B9" s="39"/>
      <c r="C9" s="39"/>
      <c r="D9" s="39"/>
      <c r="E9" s="39"/>
      <c r="F9" s="39"/>
      <c r="G9" s="39"/>
      <c r="H9" s="10" t="s">
        <v>27</v>
      </c>
      <c r="I9" s="10" t="s">
        <v>28</v>
      </c>
      <c r="J9" s="10" t="s">
        <v>27</v>
      </c>
      <c r="K9" s="11" t="s">
        <v>29</v>
      </c>
      <c r="L9" s="39"/>
      <c r="M9" s="39"/>
      <c r="N9" s="38"/>
      <c r="O9" s="38"/>
      <c r="P9" s="38"/>
      <c r="Q9" s="10" t="s">
        <v>2</v>
      </c>
      <c r="R9" s="11" t="s">
        <v>30</v>
      </c>
      <c r="S9" s="10" t="s">
        <v>2</v>
      </c>
      <c r="T9" s="11" t="s">
        <v>30</v>
      </c>
      <c r="U9" s="39"/>
      <c r="V9" s="38"/>
      <c r="W9" s="41"/>
      <c r="X9" s="41"/>
    </row>
    <row r="10" spans="1:24" ht="38.25" x14ac:dyDescent="0.2">
      <c r="A10" s="27" t="s">
        <v>34</v>
      </c>
      <c r="B10" s="34" t="s">
        <v>212</v>
      </c>
      <c r="C10" s="34" t="s">
        <v>40</v>
      </c>
      <c r="D10" s="29" t="s">
        <v>172</v>
      </c>
      <c r="E10" s="20" t="s">
        <v>53</v>
      </c>
      <c r="F10" s="34" t="s">
        <v>218</v>
      </c>
      <c r="G10" s="30" t="s">
        <v>31</v>
      </c>
      <c r="H10" s="27" t="s">
        <v>32</v>
      </c>
      <c r="I10" s="27" t="s">
        <v>33</v>
      </c>
      <c r="J10" s="27" t="s">
        <v>38</v>
      </c>
      <c r="K10" s="31" t="s">
        <v>39</v>
      </c>
      <c r="L10" s="35">
        <v>43080</v>
      </c>
      <c r="M10" s="35">
        <v>43081</v>
      </c>
      <c r="N10" s="31">
        <f>972/2</f>
        <v>486</v>
      </c>
      <c r="O10" s="31">
        <f>972/2</f>
        <v>486</v>
      </c>
      <c r="P10" s="31">
        <f t="shared" ref="P10:P29" si="0">N10+O10</f>
        <v>972</v>
      </c>
      <c r="Q10" s="27">
        <v>3</v>
      </c>
      <c r="R10" s="31">
        <v>120</v>
      </c>
      <c r="S10" s="27"/>
      <c r="T10" s="31"/>
      <c r="U10" s="32">
        <f t="shared" ref="U10" si="1">(Q10*R10)+(S10*T10)</f>
        <v>360</v>
      </c>
      <c r="V10" s="31">
        <f t="shared" ref="V10" si="2">P10+U10</f>
        <v>1332</v>
      </c>
      <c r="W10" s="31">
        <f t="shared" ref="W10" si="3">V10</f>
        <v>1332</v>
      </c>
      <c r="X10" s="28"/>
    </row>
    <row r="11" spans="1:24" ht="51" x14ac:dyDescent="0.2">
      <c r="A11" s="27" t="s">
        <v>34</v>
      </c>
      <c r="B11" s="34" t="s">
        <v>212</v>
      </c>
      <c r="C11" s="27" t="s">
        <v>165</v>
      </c>
      <c r="D11" s="29" t="s">
        <v>173</v>
      </c>
      <c r="E11" s="20" t="s">
        <v>174</v>
      </c>
      <c r="F11" s="34" t="s">
        <v>219</v>
      </c>
      <c r="G11" s="30" t="s">
        <v>31</v>
      </c>
      <c r="H11" s="27" t="s">
        <v>32</v>
      </c>
      <c r="I11" s="27" t="s">
        <v>33</v>
      </c>
      <c r="J11" s="27" t="s">
        <v>38</v>
      </c>
      <c r="K11" s="31" t="s">
        <v>39</v>
      </c>
      <c r="L11" s="35">
        <v>43082</v>
      </c>
      <c r="M11" s="35">
        <v>43084</v>
      </c>
      <c r="N11" s="31">
        <f>944.36/2</f>
        <v>472.18</v>
      </c>
      <c r="O11" s="31">
        <f>944.36/2</f>
        <v>472.18</v>
      </c>
      <c r="P11" s="31">
        <f t="shared" si="0"/>
        <v>944.36</v>
      </c>
      <c r="Q11" s="27">
        <v>3</v>
      </c>
      <c r="R11" s="31">
        <v>120</v>
      </c>
      <c r="S11" s="27">
        <v>2</v>
      </c>
      <c r="T11" s="31">
        <v>100</v>
      </c>
      <c r="U11" s="32">
        <f t="shared" ref="U11:U29" si="4">(Q11*R11)+(S11*T11)</f>
        <v>560</v>
      </c>
      <c r="V11" s="31">
        <f t="shared" ref="V11:V29" si="5">P11+U11</f>
        <v>1504.3600000000001</v>
      </c>
      <c r="W11" s="31">
        <f t="shared" ref="W11:W29" si="6">V11</f>
        <v>1504.3600000000001</v>
      </c>
      <c r="X11" s="33"/>
    </row>
    <row r="12" spans="1:24" ht="51" x14ac:dyDescent="0.2">
      <c r="A12" s="27" t="s">
        <v>49</v>
      </c>
      <c r="B12" s="34" t="s">
        <v>214</v>
      </c>
      <c r="C12" s="27" t="s">
        <v>213</v>
      </c>
      <c r="D12" s="29" t="s">
        <v>220</v>
      </c>
      <c r="E12" s="20" t="s">
        <v>221</v>
      </c>
      <c r="F12" s="34" t="s">
        <v>216</v>
      </c>
      <c r="G12" s="30" t="s">
        <v>31</v>
      </c>
      <c r="H12" s="27" t="s">
        <v>32</v>
      </c>
      <c r="I12" s="27" t="s">
        <v>33</v>
      </c>
      <c r="J12" s="27" t="s">
        <v>61</v>
      </c>
      <c r="K12" s="31" t="s">
        <v>62</v>
      </c>
      <c r="L12" s="35">
        <v>43074</v>
      </c>
      <c r="M12" s="35">
        <v>43075</v>
      </c>
      <c r="N12" s="31">
        <f>922.41/2</f>
        <v>461.20499999999998</v>
      </c>
      <c r="O12" s="31">
        <f>922.41/2</f>
        <v>461.20499999999998</v>
      </c>
      <c r="P12" s="31">
        <f t="shared" si="0"/>
        <v>922.41</v>
      </c>
      <c r="Q12" s="27">
        <v>4</v>
      </c>
      <c r="R12" s="31">
        <v>120</v>
      </c>
      <c r="S12" s="27"/>
      <c r="T12" s="31"/>
      <c r="U12" s="32">
        <f t="shared" si="4"/>
        <v>480</v>
      </c>
      <c r="V12" s="31">
        <f t="shared" si="5"/>
        <v>1402.4099999999999</v>
      </c>
      <c r="W12" s="31">
        <f t="shared" si="6"/>
        <v>1402.4099999999999</v>
      </c>
      <c r="X12" s="33"/>
    </row>
    <row r="13" spans="1:24" ht="25.5" x14ac:dyDescent="0.2">
      <c r="A13" s="27" t="s">
        <v>49</v>
      </c>
      <c r="B13" s="27" t="s">
        <v>49</v>
      </c>
      <c r="C13" s="27" t="s">
        <v>80</v>
      </c>
      <c r="D13" s="29" t="s">
        <v>104</v>
      </c>
      <c r="E13" s="20" t="s">
        <v>90</v>
      </c>
      <c r="F13" s="34" t="s">
        <v>217</v>
      </c>
      <c r="G13" s="30" t="s">
        <v>31</v>
      </c>
      <c r="H13" s="27" t="s">
        <v>32</v>
      </c>
      <c r="I13" s="27" t="s">
        <v>33</v>
      </c>
      <c r="J13" s="27" t="s">
        <v>38</v>
      </c>
      <c r="K13" s="31" t="s">
        <v>39</v>
      </c>
      <c r="L13" s="35">
        <v>43076</v>
      </c>
      <c r="M13" s="35">
        <v>43076</v>
      </c>
      <c r="N13" s="31">
        <f>994.14/2</f>
        <v>497.07</v>
      </c>
      <c r="O13" s="31">
        <f>994.14/2</f>
        <v>497.07</v>
      </c>
      <c r="P13" s="31">
        <f t="shared" si="0"/>
        <v>994.14</v>
      </c>
      <c r="Q13" s="27"/>
      <c r="R13" s="31"/>
      <c r="S13" s="27"/>
      <c r="T13" s="31"/>
      <c r="U13" s="32">
        <f t="shared" si="4"/>
        <v>0</v>
      </c>
      <c r="V13" s="31">
        <f t="shared" si="5"/>
        <v>994.14</v>
      </c>
      <c r="W13" s="31">
        <f t="shared" si="6"/>
        <v>994.14</v>
      </c>
      <c r="X13" s="33"/>
    </row>
    <row r="14" spans="1:24" ht="38.25" x14ac:dyDescent="0.2">
      <c r="A14" s="27" t="s">
        <v>49</v>
      </c>
      <c r="B14" s="34" t="s">
        <v>215</v>
      </c>
      <c r="C14" s="27" t="s">
        <v>48</v>
      </c>
      <c r="D14" s="26" t="s">
        <v>81</v>
      </c>
      <c r="E14" s="14" t="s">
        <v>56</v>
      </c>
      <c r="F14" s="34" t="s">
        <v>217</v>
      </c>
      <c r="G14" s="30" t="s">
        <v>31</v>
      </c>
      <c r="H14" s="27" t="s">
        <v>32</v>
      </c>
      <c r="I14" s="27" t="s">
        <v>33</v>
      </c>
      <c r="J14" s="27" t="s">
        <v>38</v>
      </c>
      <c r="K14" s="31" t="s">
        <v>39</v>
      </c>
      <c r="L14" s="35">
        <v>43076</v>
      </c>
      <c r="M14" s="35">
        <v>43076</v>
      </c>
      <c r="N14" s="31">
        <f>992.25/2</f>
        <v>496.125</v>
      </c>
      <c r="O14" s="31">
        <f>992.25/2</f>
        <v>496.125</v>
      </c>
      <c r="P14" s="31">
        <f t="shared" si="0"/>
        <v>992.25</v>
      </c>
      <c r="Q14" s="27">
        <v>3</v>
      </c>
      <c r="R14" s="31">
        <v>120</v>
      </c>
      <c r="S14" s="27"/>
      <c r="T14" s="31"/>
      <c r="U14" s="32">
        <f t="shared" si="4"/>
        <v>360</v>
      </c>
      <c r="V14" s="31">
        <f t="shared" si="5"/>
        <v>1352.25</v>
      </c>
      <c r="W14" s="31">
        <f t="shared" si="6"/>
        <v>1352.25</v>
      </c>
      <c r="X14" s="33"/>
    </row>
    <row r="15" spans="1:24" ht="14.25" x14ac:dyDescent="0.2">
      <c r="A15" s="27"/>
      <c r="B15" s="27"/>
      <c r="C15" s="27"/>
      <c r="D15" s="29"/>
      <c r="E15" s="20"/>
      <c r="F15" s="34"/>
      <c r="G15" s="30"/>
      <c r="H15" s="27"/>
      <c r="I15" s="27"/>
      <c r="J15" s="27"/>
      <c r="K15" s="31"/>
      <c r="L15" s="35"/>
      <c r="M15" s="35"/>
      <c r="N15" s="31"/>
      <c r="O15" s="31"/>
      <c r="P15" s="31">
        <f t="shared" si="0"/>
        <v>0</v>
      </c>
      <c r="Q15" s="27"/>
      <c r="R15" s="31"/>
      <c r="S15" s="27"/>
      <c r="T15" s="31"/>
      <c r="U15" s="32">
        <f t="shared" si="4"/>
        <v>0</v>
      </c>
      <c r="V15" s="31">
        <f t="shared" si="5"/>
        <v>0</v>
      </c>
      <c r="W15" s="31">
        <f t="shared" si="6"/>
        <v>0</v>
      </c>
      <c r="X15" s="33"/>
    </row>
    <row r="16" spans="1:24" ht="14.25" x14ac:dyDescent="0.2">
      <c r="A16" s="27"/>
      <c r="B16" s="27"/>
      <c r="C16" s="27"/>
      <c r="D16" s="29"/>
      <c r="E16" s="34"/>
      <c r="F16" s="34"/>
      <c r="G16" s="30"/>
      <c r="H16" s="27"/>
      <c r="I16" s="27"/>
      <c r="J16" s="27"/>
      <c r="K16" s="31"/>
      <c r="L16" s="35"/>
      <c r="M16" s="35"/>
      <c r="N16" s="31"/>
      <c r="O16" s="31"/>
      <c r="P16" s="31">
        <f t="shared" si="0"/>
        <v>0</v>
      </c>
      <c r="Q16" s="27"/>
      <c r="R16" s="31"/>
      <c r="S16" s="27"/>
      <c r="T16" s="31"/>
      <c r="U16" s="32">
        <f t="shared" si="4"/>
        <v>0</v>
      </c>
      <c r="V16" s="31">
        <f t="shared" si="5"/>
        <v>0</v>
      </c>
      <c r="W16" s="31">
        <f t="shared" si="6"/>
        <v>0</v>
      </c>
      <c r="X16" s="33"/>
    </row>
    <row r="17" spans="1:24" ht="14.25" x14ac:dyDescent="0.2">
      <c r="A17" s="27"/>
      <c r="B17" s="27"/>
      <c r="C17" s="27"/>
      <c r="D17" s="29"/>
      <c r="E17" s="20"/>
      <c r="F17" s="34"/>
      <c r="G17" s="30"/>
      <c r="H17" s="27"/>
      <c r="I17" s="27"/>
      <c r="J17" s="27"/>
      <c r="K17" s="31"/>
      <c r="L17" s="35"/>
      <c r="M17" s="35"/>
      <c r="N17" s="31"/>
      <c r="O17" s="31"/>
      <c r="P17" s="31">
        <f t="shared" si="0"/>
        <v>0</v>
      </c>
      <c r="Q17" s="27"/>
      <c r="R17" s="31"/>
      <c r="S17" s="27"/>
      <c r="T17" s="31"/>
      <c r="U17" s="32">
        <f t="shared" si="4"/>
        <v>0</v>
      </c>
      <c r="V17" s="31">
        <f t="shared" si="5"/>
        <v>0</v>
      </c>
      <c r="W17" s="31">
        <f t="shared" si="6"/>
        <v>0</v>
      </c>
      <c r="X17" s="33"/>
    </row>
    <row r="18" spans="1:24" ht="14.25" x14ac:dyDescent="0.2">
      <c r="A18" s="27"/>
      <c r="B18" s="27"/>
      <c r="C18" s="27"/>
      <c r="D18" s="29"/>
      <c r="E18" s="14"/>
      <c r="F18" s="34"/>
      <c r="G18" s="30"/>
      <c r="H18" s="27"/>
      <c r="I18" s="27"/>
      <c r="J18" s="27"/>
      <c r="K18" s="31"/>
      <c r="L18" s="35"/>
      <c r="M18" s="35"/>
      <c r="N18" s="31"/>
      <c r="O18" s="31"/>
      <c r="P18" s="31">
        <f t="shared" si="0"/>
        <v>0</v>
      </c>
      <c r="Q18" s="27"/>
      <c r="R18" s="31"/>
      <c r="S18" s="27"/>
      <c r="T18" s="31"/>
      <c r="U18" s="32">
        <f t="shared" si="4"/>
        <v>0</v>
      </c>
      <c r="V18" s="31">
        <f t="shared" si="5"/>
        <v>0</v>
      </c>
      <c r="W18" s="31">
        <f t="shared" si="6"/>
        <v>0</v>
      </c>
      <c r="X18" s="33"/>
    </row>
    <row r="19" spans="1:24" ht="14.25" x14ac:dyDescent="0.2">
      <c r="A19" s="27"/>
      <c r="B19" s="27"/>
      <c r="C19" s="27"/>
      <c r="D19" s="29"/>
      <c r="E19" s="20"/>
      <c r="F19" s="34"/>
      <c r="G19" s="30"/>
      <c r="H19" s="27"/>
      <c r="I19" s="27"/>
      <c r="J19" s="27"/>
      <c r="K19" s="31"/>
      <c r="L19" s="35"/>
      <c r="M19" s="35"/>
      <c r="N19" s="31"/>
      <c r="O19" s="31"/>
      <c r="P19" s="31">
        <f t="shared" si="0"/>
        <v>0</v>
      </c>
      <c r="Q19" s="27"/>
      <c r="R19" s="31"/>
      <c r="S19" s="27"/>
      <c r="T19" s="31"/>
      <c r="U19" s="32">
        <f t="shared" si="4"/>
        <v>0</v>
      </c>
      <c r="V19" s="31">
        <f t="shared" si="5"/>
        <v>0</v>
      </c>
      <c r="W19" s="31">
        <f t="shared" si="6"/>
        <v>0</v>
      </c>
      <c r="X19" s="33"/>
    </row>
    <row r="20" spans="1:24" ht="14.25" x14ac:dyDescent="0.2">
      <c r="A20" s="27"/>
      <c r="B20" s="27"/>
      <c r="C20" s="27"/>
      <c r="D20" s="29"/>
      <c r="E20" s="20"/>
      <c r="F20" s="34"/>
      <c r="G20" s="30"/>
      <c r="H20" s="27"/>
      <c r="I20" s="27"/>
      <c r="J20" s="27"/>
      <c r="K20" s="31"/>
      <c r="L20" s="35"/>
      <c r="M20" s="35"/>
      <c r="N20" s="31"/>
      <c r="O20" s="31"/>
      <c r="P20" s="31">
        <f t="shared" si="0"/>
        <v>0</v>
      </c>
      <c r="Q20" s="27"/>
      <c r="R20" s="31"/>
      <c r="S20" s="27"/>
      <c r="T20" s="31"/>
      <c r="U20" s="32">
        <f t="shared" si="4"/>
        <v>0</v>
      </c>
      <c r="V20" s="31">
        <f t="shared" si="5"/>
        <v>0</v>
      </c>
      <c r="W20" s="31">
        <f t="shared" si="6"/>
        <v>0</v>
      </c>
      <c r="X20" s="33"/>
    </row>
    <row r="21" spans="1:24" ht="14.25" x14ac:dyDescent="0.2">
      <c r="A21" s="27"/>
      <c r="B21" s="27"/>
      <c r="C21" s="27"/>
      <c r="D21" s="29"/>
      <c r="E21" s="20"/>
      <c r="F21" s="34"/>
      <c r="G21" s="30"/>
      <c r="H21" s="27"/>
      <c r="I21" s="27"/>
      <c r="J21" s="27"/>
      <c r="K21" s="31"/>
      <c r="L21" s="35"/>
      <c r="M21" s="35"/>
      <c r="N21" s="31"/>
      <c r="O21" s="31"/>
      <c r="P21" s="31">
        <f t="shared" si="0"/>
        <v>0</v>
      </c>
      <c r="Q21" s="27"/>
      <c r="R21" s="31"/>
      <c r="S21" s="27"/>
      <c r="T21" s="31"/>
      <c r="U21" s="32">
        <f t="shared" si="4"/>
        <v>0</v>
      </c>
      <c r="V21" s="31">
        <f t="shared" si="5"/>
        <v>0</v>
      </c>
      <c r="W21" s="31">
        <f t="shared" si="6"/>
        <v>0</v>
      </c>
      <c r="X21" s="33"/>
    </row>
    <row r="22" spans="1:24" ht="14.25" x14ac:dyDescent="0.2">
      <c r="A22" s="27"/>
      <c r="B22" s="27"/>
      <c r="C22" s="27"/>
      <c r="D22" s="29"/>
      <c r="E22" s="20"/>
      <c r="F22" s="34"/>
      <c r="G22" s="30"/>
      <c r="H22" s="27"/>
      <c r="I22" s="27"/>
      <c r="J22" s="27"/>
      <c r="K22" s="31"/>
      <c r="L22" s="35"/>
      <c r="M22" s="35"/>
      <c r="N22" s="31"/>
      <c r="O22" s="31"/>
      <c r="P22" s="31">
        <f t="shared" si="0"/>
        <v>0</v>
      </c>
      <c r="Q22" s="27"/>
      <c r="R22" s="31"/>
      <c r="S22" s="27"/>
      <c r="T22" s="31"/>
      <c r="U22" s="32">
        <f t="shared" si="4"/>
        <v>0</v>
      </c>
      <c r="V22" s="31">
        <f t="shared" si="5"/>
        <v>0</v>
      </c>
      <c r="W22" s="31">
        <f t="shared" si="6"/>
        <v>0</v>
      </c>
      <c r="X22" s="33"/>
    </row>
    <row r="23" spans="1:24" ht="14.25" x14ac:dyDescent="0.2">
      <c r="A23" s="27"/>
      <c r="B23" s="27"/>
      <c r="C23" s="27"/>
      <c r="D23" s="29"/>
      <c r="E23" s="20"/>
      <c r="F23" s="34"/>
      <c r="G23" s="30"/>
      <c r="H23" s="27"/>
      <c r="I23" s="31"/>
      <c r="J23" s="27"/>
      <c r="K23" s="31"/>
      <c r="L23" s="35"/>
      <c r="M23" s="35"/>
      <c r="N23" s="31"/>
      <c r="O23" s="31"/>
      <c r="P23" s="31">
        <f t="shared" si="0"/>
        <v>0</v>
      </c>
      <c r="Q23" s="27"/>
      <c r="R23" s="31"/>
      <c r="S23" s="27"/>
      <c r="T23" s="31"/>
      <c r="U23" s="32">
        <f t="shared" si="4"/>
        <v>0</v>
      </c>
      <c r="V23" s="31">
        <f t="shared" si="5"/>
        <v>0</v>
      </c>
      <c r="W23" s="31">
        <f t="shared" si="6"/>
        <v>0</v>
      </c>
      <c r="X23" s="33"/>
    </row>
    <row r="24" spans="1:24" ht="14.25" x14ac:dyDescent="0.2">
      <c r="A24" s="27"/>
      <c r="B24" s="27"/>
      <c r="C24" s="27"/>
      <c r="D24" s="29"/>
      <c r="E24" s="20"/>
      <c r="F24" s="34"/>
      <c r="G24" s="30"/>
      <c r="H24" s="27"/>
      <c r="I24" s="31"/>
      <c r="J24" s="27"/>
      <c r="K24" s="27"/>
      <c r="L24" s="35"/>
      <c r="M24" s="35"/>
      <c r="N24" s="31"/>
      <c r="O24" s="31"/>
      <c r="P24" s="31">
        <f t="shared" si="0"/>
        <v>0</v>
      </c>
      <c r="Q24" s="27"/>
      <c r="R24" s="31"/>
      <c r="S24" s="27"/>
      <c r="T24" s="31"/>
      <c r="U24" s="32">
        <f t="shared" si="4"/>
        <v>0</v>
      </c>
      <c r="V24" s="31">
        <f t="shared" si="5"/>
        <v>0</v>
      </c>
      <c r="W24" s="31">
        <f t="shared" si="6"/>
        <v>0</v>
      </c>
      <c r="X24" s="33"/>
    </row>
    <row r="25" spans="1:24" ht="14.25" x14ac:dyDescent="0.2">
      <c r="A25" s="27"/>
      <c r="B25" s="27"/>
      <c r="C25" s="27"/>
      <c r="D25" s="29"/>
      <c r="E25" s="20"/>
      <c r="F25" s="34"/>
      <c r="G25" s="30"/>
      <c r="H25" s="27"/>
      <c r="I25" s="27"/>
      <c r="J25" s="27"/>
      <c r="K25" s="31"/>
      <c r="L25" s="35"/>
      <c r="M25" s="35"/>
      <c r="N25" s="31"/>
      <c r="O25" s="31"/>
      <c r="P25" s="31">
        <f t="shared" si="0"/>
        <v>0</v>
      </c>
      <c r="Q25" s="27"/>
      <c r="R25" s="31"/>
      <c r="S25" s="27"/>
      <c r="T25" s="31"/>
      <c r="U25" s="32">
        <f t="shared" si="4"/>
        <v>0</v>
      </c>
      <c r="V25" s="31">
        <f t="shared" si="5"/>
        <v>0</v>
      </c>
      <c r="W25" s="31">
        <f t="shared" si="6"/>
        <v>0</v>
      </c>
      <c r="X25" s="33"/>
    </row>
    <row r="26" spans="1:24" ht="14.25" x14ac:dyDescent="0.2">
      <c r="A26" s="27"/>
      <c r="B26" s="27"/>
      <c r="C26" s="27"/>
      <c r="D26" s="29"/>
      <c r="E26" s="20"/>
      <c r="F26" s="34"/>
      <c r="G26" s="30"/>
      <c r="H26" s="27"/>
      <c r="I26" s="31"/>
      <c r="J26" s="27"/>
      <c r="K26" s="31"/>
      <c r="L26" s="35"/>
      <c r="M26" s="35"/>
      <c r="N26" s="31"/>
      <c r="O26" s="31"/>
      <c r="P26" s="31">
        <f t="shared" si="0"/>
        <v>0</v>
      </c>
      <c r="Q26" s="27"/>
      <c r="R26" s="31"/>
      <c r="S26" s="27"/>
      <c r="T26" s="31"/>
      <c r="U26" s="32">
        <f t="shared" si="4"/>
        <v>0</v>
      </c>
      <c r="V26" s="31">
        <f t="shared" si="5"/>
        <v>0</v>
      </c>
      <c r="W26" s="31">
        <f t="shared" si="6"/>
        <v>0</v>
      </c>
      <c r="X26" s="33"/>
    </row>
    <row r="27" spans="1:24" ht="14.25" x14ac:dyDescent="0.2">
      <c r="A27" s="27"/>
      <c r="B27" s="27"/>
      <c r="C27" s="27"/>
      <c r="D27" s="29"/>
      <c r="E27" s="20"/>
      <c r="F27" s="34"/>
      <c r="G27" s="30"/>
      <c r="H27" s="27"/>
      <c r="I27" s="31"/>
      <c r="J27" s="27"/>
      <c r="K27" s="27"/>
      <c r="L27" s="35"/>
      <c r="M27" s="35"/>
      <c r="N27" s="31"/>
      <c r="O27" s="31"/>
      <c r="P27" s="31">
        <f t="shared" si="0"/>
        <v>0</v>
      </c>
      <c r="Q27" s="27"/>
      <c r="R27" s="31"/>
      <c r="S27" s="27"/>
      <c r="T27" s="31"/>
      <c r="U27" s="32">
        <f t="shared" si="4"/>
        <v>0</v>
      </c>
      <c r="V27" s="31">
        <f t="shared" si="5"/>
        <v>0</v>
      </c>
      <c r="W27" s="31">
        <f t="shared" si="6"/>
        <v>0</v>
      </c>
      <c r="X27" s="33"/>
    </row>
    <row r="28" spans="1:24" ht="14.25" x14ac:dyDescent="0.2">
      <c r="A28" s="27"/>
      <c r="B28" s="27"/>
      <c r="C28" s="27"/>
      <c r="D28" s="29"/>
      <c r="E28" s="20"/>
      <c r="F28" s="34"/>
      <c r="G28" s="30"/>
      <c r="H28" s="27"/>
      <c r="I28" s="27"/>
      <c r="J28" s="27"/>
      <c r="K28" s="31"/>
      <c r="L28" s="35"/>
      <c r="M28" s="35"/>
      <c r="N28" s="31"/>
      <c r="O28" s="31"/>
      <c r="P28" s="31">
        <f t="shared" si="0"/>
        <v>0</v>
      </c>
      <c r="Q28" s="27"/>
      <c r="R28" s="31"/>
      <c r="S28" s="27"/>
      <c r="T28" s="31"/>
      <c r="U28" s="32">
        <f t="shared" si="4"/>
        <v>0</v>
      </c>
      <c r="V28" s="31">
        <f t="shared" si="5"/>
        <v>0</v>
      </c>
      <c r="W28" s="31">
        <f t="shared" si="6"/>
        <v>0</v>
      </c>
      <c r="X28" s="33"/>
    </row>
    <row r="29" spans="1:24" ht="14.25" x14ac:dyDescent="0.2">
      <c r="A29" s="27"/>
      <c r="B29" s="27"/>
      <c r="C29" s="27"/>
      <c r="D29" s="29"/>
      <c r="E29" s="20"/>
      <c r="F29" s="34"/>
      <c r="G29" s="30"/>
      <c r="H29" s="27"/>
      <c r="I29" s="27"/>
      <c r="J29" s="27"/>
      <c r="K29" s="31"/>
      <c r="L29" s="35"/>
      <c r="M29" s="35"/>
      <c r="N29" s="31"/>
      <c r="O29" s="31"/>
      <c r="P29" s="31">
        <f t="shared" si="0"/>
        <v>0</v>
      </c>
      <c r="Q29" s="27"/>
      <c r="R29" s="31"/>
      <c r="S29" s="27"/>
      <c r="T29" s="31"/>
      <c r="U29" s="32">
        <f t="shared" si="4"/>
        <v>0</v>
      </c>
      <c r="V29" s="31">
        <f t="shared" si="5"/>
        <v>0</v>
      </c>
      <c r="W29" s="31">
        <f t="shared" si="6"/>
        <v>0</v>
      </c>
      <c r="X29" s="33"/>
    </row>
  </sheetData>
  <mergeCells count="27">
    <mergeCell ref="V5:W5"/>
    <mergeCell ref="A6:X6"/>
    <mergeCell ref="A7:B7"/>
    <mergeCell ref="C7:E7"/>
    <mergeCell ref="F7:M7"/>
    <mergeCell ref="N7:P7"/>
    <mergeCell ref="Q7:V7"/>
    <mergeCell ref="W7:W9"/>
    <mergeCell ref="X7:X9"/>
    <mergeCell ref="A8:A9"/>
    <mergeCell ref="O8:O9"/>
    <mergeCell ref="B8:B9"/>
    <mergeCell ref="C8:C9"/>
    <mergeCell ref="D8:D9"/>
    <mergeCell ref="E8:E9"/>
    <mergeCell ref="F8:F9"/>
    <mergeCell ref="G8:G9"/>
    <mergeCell ref="H8:I8"/>
    <mergeCell ref="J8:K8"/>
    <mergeCell ref="L8:L9"/>
    <mergeCell ref="M8:M9"/>
    <mergeCell ref="V8:V9"/>
    <mergeCell ref="N8:N9"/>
    <mergeCell ref="P8:P9"/>
    <mergeCell ref="Q8:R8"/>
    <mergeCell ref="S8:T8"/>
    <mergeCell ref="U8:U9"/>
  </mergeCells>
  <pageMargins left="0" right="0" top="0.39370078740157505" bottom="0.39370078740157505" header="0" footer="0"/>
  <pageSetup paperSize="0" fitToWidth="0" fitToHeight="0" pageOrder="overThenDown" horizontalDpi="0" verticalDpi="0" copies="0"/>
  <headerFooter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workbookViewId="0">
      <selection activeCell="F17" sqref="F17"/>
    </sheetView>
  </sheetViews>
  <sheetFormatPr defaultRowHeight="15" customHeight="1" x14ac:dyDescent="0.2"/>
  <cols>
    <col min="1" max="1" width="8.625" customWidth="1"/>
    <col min="2" max="2" width="15.375" customWidth="1"/>
    <col min="3" max="3" width="46" bestFit="1" customWidth="1"/>
    <col min="4" max="4" width="12" customWidth="1"/>
    <col min="5" max="5" width="17.5" customWidth="1"/>
    <col min="6" max="6" width="35.125" customWidth="1"/>
    <col min="7" max="7" width="11.25" customWidth="1"/>
    <col min="8" max="8" width="4.75" customWidth="1"/>
    <col min="9" max="9" width="16.5" customWidth="1"/>
    <col min="10" max="10" width="4" customWidth="1"/>
    <col min="11" max="11" width="16.75" customWidth="1"/>
    <col min="12" max="12" width="12.125" customWidth="1"/>
    <col min="13" max="13" width="12.25" customWidth="1"/>
    <col min="14" max="14" width="14" customWidth="1"/>
    <col min="15" max="15" width="14.25" customWidth="1"/>
    <col min="16" max="1024" width="18" customWidth="1"/>
    <col min="1025" max="1025" width="9" customWidth="1"/>
  </cols>
  <sheetData>
    <row r="1" spans="1:24" ht="14.2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4.2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3.2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40" t="s">
        <v>0</v>
      </c>
      <c r="W5" s="40"/>
      <c r="X5" s="8">
        <v>43101</v>
      </c>
    </row>
    <row r="6" spans="1:24" x14ac:dyDescent="0.25">
      <c r="A6" s="41" t="s">
        <v>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</row>
    <row r="7" spans="1:24" x14ac:dyDescent="0.25">
      <c r="A7" s="41" t="s">
        <v>5</v>
      </c>
      <c r="B7" s="41"/>
      <c r="C7" s="41" t="s">
        <v>6</v>
      </c>
      <c r="D7" s="41"/>
      <c r="E7" s="41"/>
      <c r="F7" s="41" t="s">
        <v>3</v>
      </c>
      <c r="G7" s="41"/>
      <c r="H7" s="41"/>
      <c r="I7" s="41"/>
      <c r="J7" s="41"/>
      <c r="K7" s="41"/>
      <c r="L7" s="41"/>
      <c r="M7" s="41"/>
      <c r="N7" s="41" t="s">
        <v>7</v>
      </c>
      <c r="O7" s="41"/>
      <c r="P7" s="41"/>
      <c r="Q7" s="41" t="s">
        <v>1</v>
      </c>
      <c r="R7" s="41"/>
      <c r="S7" s="41"/>
      <c r="T7" s="41"/>
      <c r="U7" s="41"/>
      <c r="V7" s="41"/>
      <c r="W7" s="41" t="s">
        <v>8</v>
      </c>
      <c r="X7" s="41" t="s">
        <v>9</v>
      </c>
    </row>
    <row r="8" spans="1:24" s="9" customFormat="1" x14ac:dyDescent="0.25">
      <c r="A8" s="39" t="s">
        <v>10</v>
      </c>
      <c r="B8" s="39" t="s">
        <v>11</v>
      </c>
      <c r="C8" s="39" t="s">
        <v>12</v>
      </c>
      <c r="D8" s="39" t="s">
        <v>13</v>
      </c>
      <c r="E8" s="39" t="s">
        <v>14</v>
      </c>
      <c r="F8" s="39" t="s">
        <v>15</v>
      </c>
      <c r="G8" s="39" t="s">
        <v>16</v>
      </c>
      <c r="H8" s="39" t="s">
        <v>17</v>
      </c>
      <c r="I8" s="39"/>
      <c r="J8" s="38" t="s">
        <v>18</v>
      </c>
      <c r="K8" s="38"/>
      <c r="L8" s="39" t="s">
        <v>19</v>
      </c>
      <c r="M8" s="39" t="s">
        <v>20</v>
      </c>
      <c r="N8" s="38" t="s">
        <v>21</v>
      </c>
      <c r="O8" s="38" t="s">
        <v>22</v>
      </c>
      <c r="P8" s="38" t="s">
        <v>23</v>
      </c>
      <c r="Q8" s="38" t="s">
        <v>24</v>
      </c>
      <c r="R8" s="38"/>
      <c r="S8" s="38" t="s">
        <v>25</v>
      </c>
      <c r="T8" s="38"/>
      <c r="U8" s="39" t="s">
        <v>26</v>
      </c>
      <c r="V8" s="38" t="s">
        <v>23</v>
      </c>
      <c r="W8" s="41"/>
      <c r="X8" s="41"/>
    </row>
    <row r="9" spans="1:24" s="9" customFormat="1" x14ac:dyDescent="0.25">
      <c r="A9" s="39"/>
      <c r="B9" s="39"/>
      <c r="C9" s="39"/>
      <c r="D9" s="39"/>
      <c r="E9" s="39"/>
      <c r="F9" s="39"/>
      <c r="G9" s="39"/>
      <c r="H9" s="10" t="s">
        <v>27</v>
      </c>
      <c r="I9" s="10" t="s">
        <v>28</v>
      </c>
      <c r="J9" s="10" t="s">
        <v>27</v>
      </c>
      <c r="K9" s="11" t="s">
        <v>29</v>
      </c>
      <c r="L9" s="39"/>
      <c r="M9" s="39"/>
      <c r="N9" s="38"/>
      <c r="O9" s="38"/>
      <c r="P9" s="38"/>
      <c r="Q9" s="10" t="s">
        <v>2</v>
      </c>
      <c r="R9" s="11" t="s">
        <v>30</v>
      </c>
      <c r="S9" s="10" t="s">
        <v>2</v>
      </c>
      <c r="T9" s="11" t="s">
        <v>30</v>
      </c>
      <c r="U9" s="39"/>
      <c r="V9" s="38"/>
      <c r="W9" s="41"/>
      <c r="X9" s="41"/>
    </row>
    <row r="10" spans="1:24" ht="25.5" x14ac:dyDescent="0.2">
      <c r="A10" s="27" t="s">
        <v>49</v>
      </c>
      <c r="B10" s="34" t="s">
        <v>49</v>
      </c>
      <c r="C10" s="34" t="s">
        <v>80</v>
      </c>
      <c r="D10" s="29" t="s">
        <v>104</v>
      </c>
      <c r="E10" s="20" t="s">
        <v>90</v>
      </c>
      <c r="F10" s="34" t="s">
        <v>222</v>
      </c>
      <c r="G10" s="30" t="s">
        <v>31</v>
      </c>
      <c r="H10" s="27" t="s">
        <v>32</v>
      </c>
      <c r="I10" s="27" t="s">
        <v>33</v>
      </c>
      <c r="J10" s="27" t="s">
        <v>139</v>
      </c>
      <c r="K10" s="31" t="s">
        <v>140</v>
      </c>
      <c r="L10" s="35">
        <v>43104</v>
      </c>
      <c r="M10" s="35">
        <v>43104</v>
      </c>
      <c r="N10" s="31">
        <f>1018.78/2</f>
        <v>509.39</v>
      </c>
      <c r="O10" s="31">
        <f>1018.78/2</f>
        <v>509.39</v>
      </c>
      <c r="P10" s="31">
        <f t="shared" ref="P10:P29" si="0">N10+O10</f>
        <v>1018.78</v>
      </c>
      <c r="Q10" s="27"/>
      <c r="R10" s="31"/>
      <c r="S10" s="27"/>
      <c r="T10" s="31"/>
      <c r="U10" s="32">
        <f t="shared" ref="U10:U29" si="1">(Q10*R10)+(S10*T10)</f>
        <v>0</v>
      </c>
      <c r="V10" s="31">
        <f t="shared" ref="V10:V29" si="2">P10+U10</f>
        <v>1018.78</v>
      </c>
      <c r="W10" s="31">
        <f t="shared" ref="W10:W29" si="3">V10</f>
        <v>1018.78</v>
      </c>
      <c r="X10" s="28"/>
    </row>
    <row r="11" spans="1:24" ht="38.25" x14ac:dyDescent="0.2">
      <c r="A11" s="27" t="s">
        <v>44</v>
      </c>
      <c r="B11" s="34" t="s">
        <v>44</v>
      </c>
      <c r="C11" s="27" t="s">
        <v>75</v>
      </c>
      <c r="D11" s="29" t="s">
        <v>104</v>
      </c>
      <c r="E11" s="20" t="s">
        <v>88</v>
      </c>
      <c r="F11" s="34" t="s">
        <v>222</v>
      </c>
      <c r="G11" s="30" t="s">
        <v>31</v>
      </c>
      <c r="H11" s="27" t="s">
        <v>32</v>
      </c>
      <c r="I11" s="27" t="s">
        <v>33</v>
      </c>
      <c r="J11" s="27" t="s">
        <v>139</v>
      </c>
      <c r="K11" s="31" t="s">
        <v>140</v>
      </c>
      <c r="L11" s="35">
        <v>43104</v>
      </c>
      <c r="M11" s="35">
        <v>43104</v>
      </c>
      <c r="N11" s="31">
        <f>1046.12/2</f>
        <v>523.05999999999995</v>
      </c>
      <c r="O11" s="31">
        <f>1046.12/2</f>
        <v>523.05999999999995</v>
      </c>
      <c r="P11" s="31">
        <f t="shared" si="0"/>
        <v>1046.1199999999999</v>
      </c>
      <c r="Q11" s="27"/>
      <c r="R11" s="31"/>
      <c r="S11" s="27"/>
      <c r="T11" s="31"/>
      <c r="U11" s="32">
        <f t="shared" si="1"/>
        <v>0</v>
      </c>
      <c r="V11" s="31">
        <f t="shared" si="2"/>
        <v>1046.1199999999999</v>
      </c>
      <c r="W11" s="31">
        <f t="shared" si="3"/>
        <v>1046.1199999999999</v>
      </c>
      <c r="X11" s="33"/>
    </row>
    <row r="12" spans="1:24" ht="25.5" x14ac:dyDescent="0.2">
      <c r="A12" s="27" t="s">
        <v>34</v>
      </c>
      <c r="B12" s="34" t="s">
        <v>34</v>
      </c>
      <c r="C12" s="27" t="s">
        <v>223</v>
      </c>
      <c r="D12" s="29" t="s">
        <v>104</v>
      </c>
      <c r="E12" s="20" t="s">
        <v>55</v>
      </c>
      <c r="F12" s="34" t="s">
        <v>224</v>
      </c>
      <c r="G12" s="30" t="s">
        <v>31</v>
      </c>
      <c r="H12" s="27" t="s">
        <v>32</v>
      </c>
      <c r="I12" s="27" t="s">
        <v>33</v>
      </c>
      <c r="J12" s="27" t="s">
        <v>38</v>
      </c>
      <c r="K12" s="31" t="s">
        <v>39</v>
      </c>
      <c r="L12" s="35">
        <v>43125</v>
      </c>
      <c r="M12" s="35">
        <v>43125</v>
      </c>
      <c r="N12" s="31">
        <f>991.86/2</f>
        <v>495.93</v>
      </c>
      <c r="O12" s="31">
        <f>991.86/2</f>
        <v>495.93</v>
      </c>
      <c r="P12" s="31">
        <f t="shared" si="0"/>
        <v>991.86</v>
      </c>
      <c r="Q12" s="27"/>
      <c r="R12" s="31"/>
      <c r="S12" s="27"/>
      <c r="T12" s="31"/>
      <c r="U12" s="32">
        <f t="shared" si="1"/>
        <v>0</v>
      </c>
      <c r="V12" s="31">
        <f t="shared" si="2"/>
        <v>991.86</v>
      </c>
      <c r="W12" s="31">
        <f t="shared" si="3"/>
        <v>991.86</v>
      </c>
      <c r="X12" s="33"/>
    </row>
    <row r="13" spans="1:24" ht="25.5" x14ac:dyDescent="0.2">
      <c r="A13" s="27" t="s">
        <v>49</v>
      </c>
      <c r="B13" s="27" t="s">
        <v>49</v>
      </c>
      <c r="C13" s="27" t="s">
        <v>80</v>
      </c>
      <c r="D13" s="29" t="s">
        <v>104</v>
      </c>
      <c r="E13" s="20" t="s">
        <v>90</v>
      </c>
      <c r="F13" s="34" t="s">
        <v>161</v>
      </c>
      <c r="G13" s="30" t="s">
        <v>31</v>
      </c>
      <c r="H13" s="27" t="s">
        <v>32</v>
      </c>
      <c r="I13" s="27" t="s">
        <v>33</v>
      </c>
      <c r="J13" s="27" t="s">
        <v>38</v>
      </c>
      <c r="K13" s="31" t="s">
        <v>39</v>
      </c>
      <c r="L13" s="35">
        <v>43125</v>
      </c>
      <c r="M13" s="35">
        <v>43125</v>
      </c>
      <c r="N13" s="31">
        <f>910.48/2</f>
        <v>455.24</v>
      </c>
      <c r="O13" s="31">
        <f>910.48/2</f>
        <v>455.24</v>
      </c>
      <c r="P13" s="31">
        <f t="shared" si="0"/>
        <v>910.48</v>
      </c>
      <c r="Q13" s="27"/>
      <c r="R13" s="31"/>
      <c r="S13" s="27"/>
      <c r="T13" s="31"/>
      <c r="U13" s="32">
        <f t="shared" si="1"/>
        <v>0</v>
      </c>
      <c r="V13" s="31">
        <f t="shared" si="2"/>
        <v>910.48</v>
      </c>
      <c r="W13" s="31">
        <f t="shared" si="3"/>
        <v>910.48</v>
      </c>
      <c r="X13" s="33"/>
    </row>
    <row r="14" spans="1:24" ht="14.25" x14ac:dyDescent="0.2">
      <c r="A14" s="27"/>
      <c r="B14" s="34"/>
      <c r="C14" s="27"/>
      <c r="D14" s="26"/>
      <c r="E14" s="14"/>
      <c r="F14" s="34"/>
      <c r="G14" s="30"/>
      <c r="H14" s="27"/>
      <c r="I14" s="27"/>
      <c r="J14" s="27"/>
      <c r="K14" s="31"/>
      <c r="L14" s="35"/>
      <c r="M14" s="35"/>
      <c r="N14" s="31"/>
      <c r="O14" s="31"/>
      <c r="P14" s="31">
        <f t="shared" si="0"/>
        <v>0</v>
      </c>
      <c r="Q14" s="27"/>
      <c r="R14" s="31"/>
      <c r="S14" s="27"/>
      <c r="T14" s="31"/>
      <c r="U14" s="32">
        <f t="shared" si="1"/>
        <v>0</v>
      </c>
      <c r="V14" s="31">
        <f t="shared" si="2"/>
        <v>0</v>
      </c>
      <c r="W14" s="31">
        <f t="shared" si="3"/>
        <v>0</v>
      </c>
      <c r="X14" s="33"/>
    </row>
    <row r="15" spans="1:24" ht="14.25" x14ac:dyDescent="0.2">
      <c r="A15" s="27"/>
      <c r="B15" s="27"/>
      <c r="C15" s="27"/>
      <c r="D15" s="29"/>
      <c r="E15" s="20"/>
      <c r="F15" s="34"/>
      <c r="G15" s="30"/>
      <c r="H15" s="27"/>
      <c r="I15" s="27"/>
      <c r="J15" s="27"/>
      <c r="K15" s="31"/>
      <c r="L15" s="35"/>
      <c r="M15" s="35"/>
      <c r="N15" s="31"/>
      <c r="O15" s="31"/>
      <c r="P15" s="31">
        <f t="shared" si="0"/>
        <v>0</v>
      </c>
      <c r="Q15" s="27"/>
      <c r="R15" s="31"/>
      <c r="S15" s="27"/>
      <c r="T15" s="31"/>
      <c r="U15" s="32">
        <f t="shared" si="1"/>
        <v>0</v>
      </c>
      <c r="V15" s="31">
        <f t="shared" si="2"/>
        <v>0</v>
      </c>
      <c r="W15" s="31">
        <f t="shared" si="3"/>
        <v>0</v>
      </c>
      <c r="X15" s="33"/>
    </row>
    <row r="16" spans="1:24" ht="14.25" x14ac:dyDescent="0.2">
      <c r="A16" s="27"/>
      <c r="B16" s="27"/>
      <c r="C16" s="27"/>
      <c r="D16" s="29"/>
      <c r="E16" s="34"/>
      <c r="F16" s="34"/>
      <c r="G16" s="30"/>
      <c r="H16" s="27"/>
      <c r="I16" s="27"/>
      <c r="J16" s="27"/>
      <c r="K16" s="31"/>
      <c r="L16" s="35"/>
      <c r="M16" s="35"/>
      <c r="N16" s="31"/>
      <c r="O16" s="31"/>
      <c r="P16" s="31">
        <f t="shared" si="0"/>
        <v>0</v>
      </c>
      <c r="Q16" s="27"/>
      <c r="R16" s="31"/>
      <c r="S16" s="27"/>
      <c r="T16" s="31"/>
      <c r="U16" s="32">
        <f t="shared" si="1"/>
        <v>0</v>
      </c>
      <c r="V16" s="31">
        <f t="shared" si="2"/>
        <v>0</v>
      </c>
      <c r="W16" s="31">
        <f t="shared" si="3"/>
        <v>0</v>
      </c>
      <c r="X16" s="33"/>
    </row>
    <row r="17" spans="1:24" ht="14.25" x14ac:dyDescent="0.2">
      <c r="A17" s="27"/>
      <c r="B17" s="27"/>
      <c r="C17" s="27"/>
      <c r="D17" s="29"/>
      <c r="E17" s="20"/>
      <c r="F17" s="34"/>
      <c r="G17" s="30"/>
      <c r="H17" s="27"/>
      <c r="I17" s="27"/>
      <c r="J17" s="27"/>
      <c r="K17" s="31"/>
      <c r="L17" s="35"/>
      <c r="M17" s="35"/>
      <c r="N17" s="31"/>
      <c r="O17" s="31"/>
      <c r="P17" s="31">
        <f t="shared" si="0"/>
        <v>0</v>
      </c>
      <c r="Q17" s="27"/>
      <c r="R17" s="31"/>
      <c r="S17" s="27"/>
      <c r="T17" s="31"/>
      <c r="U17" s="32">
        <f t="shared" si="1"/>
        <v>0</v>
      </c>
      <c r="V17" s="31">
        <f t="shared" si="2"/>
        <v>0</v>
      </c>
      <c r="W17" s="31">
        <f t="shared" si="3"/>
        <v>0</v>
      </c>
      <c r="X17" s="33"/>
    </row>
    <row r="18" spans="1:24" ht="14.25" x14ac:dyDescent="0.2">
      <c r="A18" s="27"/>
      <c r="B18" s="27"/>
      <c r="C18" s="27"/>
      <c r="D18" s="29"/>
      <c r="E18" s="14"/>
      <c r="F18" s="34"/>
      <c r="G18" s="30"/>
      <c r="H18" s="27"/>
      <c r="I18" s="27"/>
      <c r="J18" s="27"/>
      <c r="K18" s="31"/>
      <c r="L18" s="35"/>
      <c r="M18" s="35"/>
      <c r="N18" s="31"/>
      <c r="O18" s="31"/>
      <c r="P18" s="31">
        <f t="shared" si="0"/>
        <v>0</v>
      </c>
      <c r="Q18" s="27"/>
      <c r="R18" s="31"/>
      <c r="S18" s="27"/>
      <c r="T18" s="31"/>
      <c r="U18" s="32">
        <f t="shared" si="1"/>
        <v>0</v>
      </c>
      <c r="V18" s="31">
        <f t="shared" si="2"/>
        <v>0</v>
      </c>
      <c r="W18" s="31">
        <f t="shared" si="3"/>
        <v>0</v>
      </c>
      <c r="X18" s="33"/>
    </row>
    <row r="19" spans="1:24" ht="14.25" x14ac:dyDescent="0.2">
      <c r="A19" s="27"/>
      <c r="B19" s="27"/>
      <c r="C19" s="27"/>
      <c r="D19" s="29"/>
      <c r="E19" s="20"/>
      <c r="F19" s="34"/>
      <c r="G19" s="30"/>
      <c r="H19" s="27"/>
      <c r="I19" s="27"/>
      <c r="J19" s="27"/>
      <c r="K19" s="31"/>
      <c r="L19" s="35"/>
      <c r="M19" s="35"/>
      <c r="N19" s="31"/>
      <c r="O19" s="31"/>
      <c r="P19" s="31">
        <f t="shared" si="0"/>
        <v>0</v>
      </c>
      <c r="Q19" s="27"/>
      <c r="R19" s="31"/>
      <c r="S19" s="27"/>
      <c r="T19" s="31"/>
      <c r="U19" s="32">
        <f t="shared" si="1"/>
        <v>0</v>
      </c>
      <c r="V19" s="31">
        <f t="shared" si="2"/>
        <v>0</v>
      </c>
      <c r="W19" s="31">
        <f t="shared" si="3"/>
        <v>0</v>
      </c>
      <c r="X19" s="33"/>
    </row>
    <row r="20" spans="1:24" ht="14.25" x14ac:dyDescent="0.2">
      <c r="A20" s="27"/>
      <c r="B20" s="27"/>
      <c r="C20" s="27"/>
      <c r="D20" s="29"/>
      <c r="E20" s="20"/>
      <c r="F20" s="34"/>
      <c r="G20" s="30"/>
      <c r="H20" s="27"/>
      <c r="I20" s="27"/>
      <c r="J20" s="27"/>
      <c r="K20" s="31"/>
      <c r="L20" s="35"/>
      <c r="M20" s="35"/>
      <c r="N20" s="31"/>
      <c r="O20" s="31"/>
      <c r="P20" s="31">
        <f t="shared" si="0"/>
        <v>0</v>
      </c>
      <c r="Q20" s="27"/>
      <c r="R20" s="31"/>
      <c r="S20" s="27"/>
      <c r="T20" s="31"/>
      <c r="U20" s="32">
        <f t="shared" si="1"/>
        <v>0</v>
      </c>
      <c r="V20" s="31">
        <f t="shared" si="2"/>
        <v>0</v>
      </c>
      <c r="W20" s="31">
        <f t="shared" si="3"/>
        <v>0</v>
      </c>
      <c r="X20" s="33"/>
    </row>
    <row r="21" spans="1:24" ht="14.25" x14ac:dyDescent="0.2">
      <c r="A21" s="27"/>
      <c r="B21" s="27"/>
      <c r="C21" s="27"/>
      <c r="D21" s="29"/>
      <c r="E21" s="20"/>
      <c r="F21" s="34"/>
      <c r="G21" s="30"/>
      <c r="H21" s="27"/>
      <c r="I21" s="27"/>
      <c r="J21" s="27"/>
      <c r="K21" s="31"/>
      <c r="L21" s="35"/>
      <c r="M21" s="35"/>
      <c r="N21" s="31"/>
      <c r="O21" s="31"/>
      <c r="P21" s="31">
        <f t="shared" si="0"/>
        <v>0</v>
      </c>
      <c r="Q21" s="27"/>
      <c r="R21" s="31"/>
      <c r="S21" s="27"/>
      <c r="T21" s="31"/>
      <c r="U21" s="32">
        <f t="shared" si="1"/>
        <v>0</v>
      </c>
      <c r="V21" s="31">
        <f t="shared" si="2"/>
        <v>0</v>
      </c>
      <c r="W21" s="31">
        <f t="shared" si="3"/>
        <v>0</v>
      </c>
      <c r="X21" s="33"/>
    </row>
    <row r="22" spans="1:24" ht="14.25" x14ac:dyDescent="0.2">
      <c r="A22" s="27"/>
      <c r="B22" s="27"/>
      <c r="C22" s="27"/>
      <c r="D22" s="29"/>
      <c r="E22" s="20"/>
      <c r="F22" s="34"/>
      <c r="G22" s="30"/>
      <c r="H22" s="27"/>
      <c r="I22" s="27"/>
      <c r="J22" s="27"/>
      <c r="K22" s="31"/>
      <c r="L22" s="35"/>
      <c r="M22" s="35"/>
      <c r="N22" s="31"/>
      <c r="O22" s="31"/>
      <c r="P22" s="31">
        <f t="shared" si="0"/>
        <v>0</v>
      </c>
      <c r="Q22" s="27"/>
      <c r="R22" s="31"/>
      <c r="S22" s="27"/>
      <c r="T22" s="31"/>
      <c r="U22" s="32">
        <f t="shared" si="1"/>
        <v>0</v>
      </c>
      <c r="V22" s="31">
        <f t="shared" si="2"/>
        <v>0</v>
      </c>
      <c r="W22" s="31">
        <f t="shared" si="3"/>
        <v>0</v>
      </c>
      <c r="X22" s="33"/>
    </row>
    <row r="23" spans="1:24" ht="14.25" x14ac:dyDescent="0.2">
      <c r="A23" s="27"/>
      <c r="B23" s="27"/>
      <c r="C23" s="27"/>
      <c r="D23" s="29"/>
      <c r="E23" s="20"/>
      <c r="F23" s="34"/>
      <c r="G23" s="30"/>
      <c r="H23" s="27"/>
      <c r="I23" s="31"/>
      <c r="J23" s="27"/>
      <c r="K23" s="31"/>
      <c r="L23" s="35"/>
      <c r="M23" s="35"/>
      <c r="N23" s="31"/>
      <c r="O23" s="31"/>
      <c r="P23" s="31">
        <f t="shared" si="0"/>
        <v>0</v>
      </c>
      <c r="Q23" s="27"/>
      <c r="R23" s="31"/>
      <c r="S23" s="27"/>
      <c r="T23" s="31"/>
      <c r="U23" s="32">
        <f t="shared" si="1"/>
        <v>0</v>
      </c>
      <c r="V23" s="31">
        <f t="shared" si="2"/>
        <v>0</v>
      </c>
      <c r="W23" s="31">
        <f t="shared" si="3"/>
        <v>0</v>
      </c>
      <c r="X23" s="33"/>
    </row>
    <row r="24" spans="1:24" ht="14.25" x14ac:dyDescent="0.2">
      <c r="A24" s="27"/>
      <c r="B24" s="27"/>
      <c r="C24" s="27"/>
      <c r="D24" s="29"/>
      <c r="E24" s="20"/>
      <c r="F24" s="34"/>
      <c r="G24" s="30"/>
      <c r="H24" s="27"/>
      <c r="I24" s="31"/>
      <c r="J24" s="27"/>
      <c r="K24" s="27"/>
      <c r="L24" s="35"/>
      <c r="M24" s="35"/>
      <c r="N24" s="31"/>
      <c r="O24" s="31"/>
      <c r="P24" s="31">
        <f t="shared" si="0"/>
        <v>0</v>
      </c>
      <c r="Q24" s="27"/>
      <c r="R24" s="31"/>
      <c r="S24" s="27"/>
      <c r="T24" s="31"/>
      <c r="U24" s="32">
        <f t="shared" si="1"/>
        <v>0</v>
      </c>
      <c r="V24" s="31">
        <f t="shared" si="2"/>
        <v>0</v>
      </c>
      <c r="W24" s="31">
        <f t="shared" si="3"/>
        <v>0</v>
      </c>
      <c r="X24" s="33"/>
    </row>
    <row r="25" spans="1:24" ht="14.25" x14ac:dyDescent="0.2">
      <c r="A25" s="27"/>
      <c r="B25" s="27"/>
      <c r="C25" s="27"/>
      <c r="D25" s="29"/>
      <c r="E25" s="20"/>
      <c r="F25" s="34"/>
      <c r="G25" s="30"/>
      <c r="H25" s="27"/>
      <c r="I25" s="27"/>
      <c r="J25" s="27"/>
      <c r="K25" s="31"/>
      <c r="L25" s="35"/>
      <c r="M25" s="35"/>
      <c r="N25" s="31"/>
      <c r="O25" s="31"/>
      <c r="P25" s="31">
        <f t="shared" si="0"/>
        <v>0</v>
      </c>
      <c r="Q25" s="27"/>
      <c r="R25" s="31"/>
      <c r="S25" s="27"/>
      <c r="T25" s="31"/>
      <c r="U25" s="32">
        <f t="shared" si="1"/>
        <v>0</v>
      </c>
      <c r="V25" s="31">
        <f t="shared" si="2"/>
        <v>0</v>
      </c>
      <c r="W25" s="31">
        <f t="shared" si="3"/>
        <v>0</v>
      </c>
      <c r="X25" s="33"/>
    </row>
    <row r="26" spans="1:24" ht="14.25" x14ac:dyDescent="0.2">
      <c r="A26" s="27"/>
      <c r="B26" s="27"/>
      <c r="C26" s="27"/>
      <c r="D26" s="29"/>
      <c r="E26" s="20"/>
      <c r="F26" s="34"/>
      <c r="G26" s="30"/>
      <c r="H26" s="27"/>
      <c r="I26" s="31"/>
      <c r="J26" s="27"/>
      <c r="K26" s="31"/>
      <c r="L26" s="35"/>
      <c r="M26" s="35"/>
      <c r="N26" s="31"/>
      <c r="O26" s="31"/>
      <c r="P26" s="31">
        <f t="shared" si="0"/>
        <v>0</v>
      </c>
      <c r="Q26" s="27"/>
      <c r="R26" s="31"/>
      <c r="S26" s="27"/>
      <c r="T26" s="31"/>
      <c r="U26" s="32">
        <f t="shared" si="1"/>
        <v>0</v>
      </c>
      <c r="V26" s="31">
        <f t="shared" si="2"/>
        <v>0</v>
      </c>
      <c r="W26" s="31">
        <f t="shared" si="3"/>
        <v>0</v>
      </c>
      <c r="X26" s="33"/>
    </row>
    <row r="27" spans="1:24" ht="14.25" x14ac:dyDescent="0.2">
      <c r="A27" s="27"/>
      <c r="B27" s="27"/>
      <c r="C27" s="27"/>
      <c r="D27" s="29"/>
      <c r="E27" s="20"/>
      <c r="F27" s="34"/>
      <c r="G27" s="30"/>
      <c r="H27" s="27"/>
      <c r="I27" s="31"/>
      <c r="J27" s="27"/>
      <c r="K27" s="27"/>
      <c r="L27" s="35"/>
      <c r="M27" s="35"/>
      <c r="N27" s="31"/>
      <c r="O27" s="31"/>
      <c r="P27" s="31">
        <f t="shared" si="0"/>
        <v>0</v>
      </c>
      <c r="Q27" s="27"/>
      <c r="R27" s="31"/>
      <c r="S27" s="27"/>
      <c r="T27" s="31"/>
      <c r="U27" s="32">
        <f t="shared" si="1"/>
        <v>0</v>
      </c>
      <c r="V27" s="31">
        <f t="shared" si="2"/>
        <v>0</v>
      </c>
      <c r="W27" s="31">
        <f t="shared" si="3"/>
        <v>0</v>
      </c>
      <c r="X27" s="33"/>
    </row>
    <row r="28" spans="1:24" ht="14.25" x14ac:dyDescent="0.2">
      <c r="A28" s="27"/>
      <c r="B28" s="27"/>
      <c r="C28" s="27"/>
      <c r="D28" s="29"/>
      <c r="E28" s="20"/>
      <c r="F28" s="34"/>
      <c r="G28" s="30"/>
      <c r="H28" s="27"/>
      <c r="I28" s="27"/>
      <c r="J28" s="27"/>
      <c r="K28" s="31"/>
      <c r="L28" s="35"/>
      <c r="M28" s="35"/>
      <c r="N28" s="31"/>
      <c r="O28" s="31"/>
      <c r="P28" s="31">
        <f t="shared" si="0"/>
        <v>0</v>
      </c>
      <c r="Q28" s="27"/>
      <c r="R28" s="31"/>
      <c r="S28" s="27"/>
      <c r="T28" s="31"/>
      <c r="U28" s="32">
        <f t="shared" si="1"/>
        <v>0</v>
      </c>
      <c r="V28" s="31">
        <f t="shared" si="2"/>
        <v>0</v>
      </c>
      <c r="W28" s="31">
        <f t="shared" si="3"/>
        <v>0</v>
      </c>
      <c r="X28" s="33"/>
    </row>
    <row r="29" spans="1:24" ht="14.25" x14ac:dyDescent="0.2">
      <c r="A29" s="27"/>
      <c r="B29" s="27"/>
      <c r="C29" s="27"/>
      <c r="D29" s="29"/>
      <c r="E29" s="20"/>
      <c r="F29" s="34"/>
      <c r="G29" s="30"/>
      <c r="H29" s="27"/>
      <c r="I29" s="27"/>
      <c r="J29" s="27"/>
      <c r="K29" s="31"/>
      <c r="L29" s="35"/>
      <c r="M29" s="35"/>
      <c r="N29" s="31"/>
      <c r="O29" s="31"/>
      <c r="P29" s="31">
        <f t="shared" si="0"/>
        <v>0</v>
      </c>
      <c r="Q29" s="27"/>
      <c r="R29" s="31"/>
      <c r="S29" s="27"/>
      <c r="T29" s="31"/>
      <c r="U29" s="32">
        <f t="shared" si="1"/>
        <v>0</v>
      </c>
      <c r="V29" s="31">
        <f t="shared" si="2"/>
        <v>0</v>
      </c>
      <c r="W29" s="31">
        <f t="shared" si="3"/>
        <v>0</v>
      </c>
      <c r="X29" s="33"/>
    </row>
  </sheetData>
  <mergeCells count="27">
    <mergeCell ref="V5:W5"/>
    <mergeCell ref="A6:X6"/>
    <mergeCell ref="A7:B7"/>
    <mergeCell ref="C7:E7"/>
    <mergeCell ref="F7:M7"/>
    <mergeCell ref="N7:P7"/>
    <mergeCell ref="Q7:V7"/>
    <mergeCell ref="W7:W9"/>
    <mergeCell ref="X7:X9"/>
    <mergeCell ref="A8:A9"/>
    <mergeCell ref="O8:O9"/>
    <mergeCell ref="B8:B9"/>
    <mergeCell ref="C8:C9"/>
    <mergeCell ref="D8:D9"/>
    <mergeCell ref="E8:E9"/>
    <mergeCell ref="F8:F9"/>
    <mergeCell ref="G8:G9"/>
    <mergeCell ref="H8:I8"/>
    <mergeCell ref="J8:K8"/>
    <mergeCell ref="L8:L9"/>
    <mergeCell ref="M8:M9"/>
    <mergeCell ref="V8:V9"/>
    <mergeCell ref="N8:N9"/>
    <mergeCell ref="P8:P9"/>
    <mergeCell ref="Q8:R8"/>
    <mergeCell ref="S8:T8"/>
    <mergeCell ref="U8:U9"/>
  </mergeCells>
  <pageMargins left="0" right="0" top="0.39370078740157505" bottom="0.39370078740157505" header="0" footer="0"/>
  <pageSetup paperSize="9" fitToWidth="0" fitToHeight="0" pageOrder="overThenDown" orientation="portrait" r:id="rId1"/>
  <headerFooter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workbookViewId="0">
      <selection activeCell="D13" sqref="D13:E13"/>
    </sheetView>
  </sheetViews>
  <sheetFormatPr defaultRowHeight="15" customHeight="1" x14ac:dyDescent="0.2"/>
  <cols>
    <col min="1" max="1" width="19.125" customWidth="1"/>
    <col min="2" max="2" width="15.375" customWidth="1"/>
    <col min="3" max="3" width="46" bestFit="1" customWidth="1"/>
    <col min="4" max="4" width="12" customWidth="1"/>
    <col min="5" max="5" width="17.5" customWidth="1"/>
    <col min="6" max="6" width="35.125" customWidth="1"/>
    <col min="7" max="7" width="11.25" customWidth="1"/>
    <col min="8" max="8" width="4.75" customWidth="1"/>
    <col min="9" max="9" width="16.5" customWidth="1"/>
    <col min="10" max="10" width="4" customWidth="1"/>
    <col min="11" max="11" width="16.75" customWidth="1"/>
    <col min="12" max="12" width="12.125" customWidth="1"/>
    <col min="13" max="13" width="12.25" customWidth="1"/>
    <col min="14" max="14" width="14" customWidth="1"/>
    <col min="15" max="15" width="14.25" customWidth="1"/>
    <col min="16" max="1024" width="18" customWidth="1"/>
    <col min="1025" max="1025" width="9" customWidth="1"/>
  </cols>
  <sheetData>
    <row r="1" spans="1:24" ht="14.2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4.2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3.2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40" t="s">
        <v>0</v>
      </c>
      <c r="W5" s="40"/>
      <c r="X5" s="8">
        <v>43160</v>
      </c>
    </row>
    <row r="6" spans="1:24" x14ac:dyDescent="0.25">
      <c r="A6" s="41" t="s">
        <v>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</row>
    <row r="7" spans="1:24" x14ac:dyDescent="0.25">
      <c r="A7" s="41" t="s">
        <v>5</v>
      </c>
      <c r="B7" s="41"/>
      <c r="C7" s="41" t="s">
        <v>6</v>
      </c>
      <c r="D7" s="41"/>
      <c r="E7" s="41"/>
      <c r="F7" s="41" t="s">
        <v>3</v>
      </c>
      <c r="G7" s="41"/>
      <c r="H7" s="41"/>
      <c r="I7" s="41"/>
      <c r="J7" s="41"/>
      <c r="K7" s="41"/>
      <c r="L7" s="41"/>
      <c r="M7" s="41"/>
      <c r="N7" s="41" t="s">
        <v>7</v>
      </c>
      <c r="O7" s="41"/>
      <c r="P7" s="41"/>
      <c r="Q7" s="41" t="s">
        <v>1</v>
      </c>
      <c r="R7" s="41"/>
      <c r="S7" s="41"/>
      <c r="T7" s="41"/>
      <c r="U7" s="41"/>
      <c r="V7" s="41"/>
      <c r="W7" s="41" t="s">
        <v>8</v>
      </c>
      <c r="X7" s="41" t="s">
        <v>9</v>
      </c>
    </row>
    <row r="8" spans="1:24" s="9" customFormat="1" x14ac:dyDescent="0.25">
      <c r="A8" s="39" t="s">
        <v>10</v>
      </c>
      <c r="B8" s="39" t="s">
        <v>11</v>
      </c>
      <c r="C8" s="39" t="s">
        <v>12</v>
      </c>
      <c r="D8" s="39" t="s">
        <v>13</v>
      </c>
      <c r="E8" s="39" t="s">
        <v>14</v>
      </c>
      <c r="F8" s="39" t="s">
        <v>15</v>
      </c>
      <c r="G8" s="39" t="s">
        <v>16</v>
      </c>
      <c r="H8" s="39" t="s">
        <v>17</v>
      </c>
      <c r="I8" s="39"/>
      <c r="J8" s="38" t="s">
        <v>18</v>
      </c>
      <c r="K8" s="38"/>
      <c r="L8" s="39" t="s">
        <v>19</v>
      </c>
      <c r="M8" s="39" t="s">
        <v>20</v>
      </c>
      <c r="N8" s="38" t="s">
        <v>21</v>
      </c>
      <c r="O8" s="38" t="s">
        <v>22</v>
      </c>
      <c r="P8" s="38" t="s">
        <v>23</v>
      </c>
      <c r="Q8" s="38" t="s">
        <v>24</v>
      </c>
      <c r="R8" s="38"/>
      <c r="S8" s="38" t="s">
        <v>25</v>
      </c>
      <c r="T8" s="38"/>
      <c r="U8" s="39" t="s">
        <v>26</v>
      </c>
      <c r="V8" s="38" t="s">
        <v>23</v>
      </c>
      <c r="W8" s="41"/>
      <c r="X8" s="41"/>
    </row>
    <row r="9" spans="1:24" s="9" customFormat="1" ht="17.25" customHeight="1" x14ac:dyDescent="0.25">
      <c r="A9" s="39"/>
      <c r="B9" s="39"/>
      <c r="C9" s="39"/>
      <c r="D9" s="39"/>
      <c r="E9" s="39"/>
      <c r="F9" s="39"/>
      <c r="G9" s="39"/>
      <c r="H9" s="10" t="s">
        <v>27</v>
      </c>
      <c r="I9" s="10" t="s">
        <v>28</v>
      </c>
      <c r="J9" s="10" t="s">
        <v>27</v>
      </c>
      <c r="K9" s="11" t="s">
        <v>29</v>
      </c>
      <c r="L9" s="39"/>
      <c r="M9" s="39"/>
      <c r="N9" s="38"/>
      <c r="O9" s="38"/>
      <c r="P9" s="38"/>
      <c r="Q9" s="10" t="s">
        <v>2</v>
      </c>
      <c r="R9" s="11" t="s">
        <v>30</v>
      </c>
      <c r="S9" s="10" t="s">
        <v>2</v>
      </c>
      <c r="T9" s="11" t="s">
        <v>30</v>
      </c>
      <c r="U9" s="39"/>
      <c r="V9" s="38"/>
      <c r="W9" s="41"/>
      <c r="X9" s="41"/>
    </row>
    <row r="10" spans="1:24" ht="47.25" customHeight="1" x14ac:dyDescent="0.2">
      <c r="A10" s="34" t="s">
        <v>231</v>
      </c>
      <c r="B10" s="34" t="s">
        <v>225</v>
      </c>
      <c r="C10" s="34" t="s">
        <v>42</v>
      </c>
      <c r="D10" s="29" t="s">
        <v>68</v>
      </c>
      <c r="E10" s="20" t="s">
        <v>54</v>
      </c>
      <c r="F10" s="34" t="s">
        <v>226</v>
      </c>
      <c r="G10" s="30" t="s">
        <v>31</v>
      </c>
      <c r="H10" s="27" t="s">
        <v>32</v>
      </c>
      <c r="I10" s="27" t="s">
        <v>33</v>
      </c>
      <c r="J10" s="27" t="s">
        <v>38</v>
      </c>
      <c r="K10" s="31" t="s">
        <v>39</v>
      </c>
      <c r="L10" s="35">
        <v>43179</v>
      </c>
      <c r="M10" s="35">
        <v>43181</v>
      </c>
      <c r="N10" s="31">
        <f>813.71/2</f>
        <v>406.85500000000002</v>
      </c>
      <c r="O10" s="31">
        <f>813.71/2</f>
        <v>406.85500000000002</v>
      </c>
      <c r="P10" s="31">
        <f t="shared" ref="P10:P14" si="0">N10+O10</f>
        <v>813.71</v>
      </c>
      <c r="Q10" s="27">
        <v>6</v>
      </c>
      <c r="R10" s="31">
        <v>120</v>
      </c>
      <c r="S10" s="27"/>
      <c r="T10" s="31"/>
      <c r="U10" s="32">
        <f t="shared" ref="U10:U14" si="1">(Q10*R10)+(S10*T10)</f>
        <v>720</v>
      </c>
      <c r="V10" s="31">
        <f t="shared" ref="V10:V14" si="2">P10+U10</f>
        <v>1533.71</v>
      </c>
      <c r="W10" s="31">
        <f t="shared" ref="W10:W14" si="3">V10</f>
        <v>1533.71</v>
      </c>
      <c r="X10" s="28"/>
    </row>
    <row r="11" spans="1:24" ht="63.75" x14ac:dyDescent="0.2">
      <c r="A11" s="34" t="s">
        <v>232</v>
      </c>
      <c r="B11" s="34" t="s">
        <v>227</v>
      </c>
      <c r="C11" s="27" t="s">
        <v>114</v>
      </c>
      <c r="D11" s="29" t="s">
        <v>115</v>
      </c>
      <c r="E11" s="20" t="s">
        <v>130</v>
      </c>
      <c r="F11" s="34" t="s">
        <v>228</v>
      </c>
      <c r="G11" s="30" t="s">
        <v>31</v>
      </c>
      <c r="H11" s="27" t="s">
        <v>32</v>
      </c>
      <c r="I11" s="27" t="s">
        <v>33</v>
      </c>
      <c r="J11" s="27" t="s">
        <v>38</v>
      </c>
      <c r="K11" s="31" t="s">
        <v>39</v>
      </c>
      <c r="L11" s="35">
        <v>43173</v>
      </c>
      <c r="M11" s="35">
        <v>43175</v>
      </c>
      <c r="N11" s="31">
        <f>982.25/2</f>
        <v>491.125</v>
      </c>
      <c r="O11" s="31">
        <f>982.25/2</f>
        <v>491.125</v>
      </c>
      <c r="P11" s="31">
        <f t="shared" si="0"/>
        <v>982.25</v>
      </c>
      <c r="Q11" s="27">
        <v>3</v>
      </c>
      <c r="R11" s="31">
        <v>120</v>
      </c>
      <c r="S11" s="27"/>
      <c r="T11" s="31"/>
      <c r="U11" s="32">
        <f t="shared" si="1"/>
        <v>360</v>
      </c>
      <c r="V11" s="31">
        <f t="shared" si="2"/>
        <v>1342.25</v>
      </c>
      <c r="W11" s="31">
        <f t="shared" si="3"/>
        <v>1342.25</v>
      </c>
      <c r="X11" s="33"/>
    </row>
    <row r="12" spans="1:24" ht="25.5" x14ac:dyDescent="0.2">
      <c r="A12" s="34" t="s">
        <v>232</v>
      </c>
      <c r="B12" s="34" t="s">
        <v>229</v>
      </c>
      <c r="C12" s="27" t="s">
        <v>80</v>
      </c>
      <c r="D12" s="29" t="s">
        <v>104</v>
      </c>
      <c r="E12" s="20" t="s">
        <v>90</v>
      </c>
      <c r="F12" s="34" t="s">
        <v>230</v>
      </c>
      <c r="G12" s="30" t="s">
        <v>31</v>
      </c>
      <c r="H12" s="27" t="s">
        <v>32</v>
      </c>
      <c r="I12" s="27" t="s">
        <v>33</v>
      </c>
      <c r="J12" s="27" t="s">
        <v>38</v>
      </c>
      <c r="K12" s="31" t="s">
        <v>39</v>
      </c>
      <c r="L12" s="35">
        <v>43180</v>
      </c>
      <c r="M12" s="35">
        <v>43181</v>
      </c>
      <c r="N12" s="31">
        <f>1009.21/2</f>
        <v>504.60500000000002</v>
      </c>
      <c r="O12" s="31">
        <f>1009.21/2</f>
        <v>504.60500000000002</v>
      </c>
      <c r="P12" s="31">
        <f t="shared" si="0"/>
        <v>1009.21</v>
      </c>
      <c r="Q12" s="27"/>
      <c r="R12" s="31"/>
      <c r="S12" s="27"/>
      <c r="T12" s="31"/>
      <c r="U12" s="32">
        <f t="shared" si="1"/>
        <v>0</v>
      </c>
      <c r="V12" s="31">
        <f t="shared" si="2"/>
        <v>1009.21</v>
      </c>
      <c r="W12" s="31">
        <f t="shared" si="3"/>
        <v>1009.21</v>
      </c>
      <c r="X12" s="33"/>
    </row>
    <row r="13" spans="1:24" ht="38.25" x14ac:dyDescent="0.2">
      <c r="A13" s="34" t="s">
        <v>232</v>
      </c>
      <c r="B13" s="34" t="s">
        <v>215</v>
      </c>
      <c r="C13" s="27" t="s">
        <v>48</v>
      </c>
      <c r="D13" s="29" t="s">
        <v>81</v>
      </c>
      <c r="E13" s="20" t="s">
        <v>56</v>
      </c>
      <c r="F13" s="34" t="s">
        <v>230</v>
      </c>
      <c r="G13" s="30" t="s">
        <v>31</v>
      </c>
      <c r="H13" s="27" t="s">
        <v>32</v>
      </c>
      <c r="I13" s="27" t="s">
        <v>33</v>
      </c>
      <c r="J13" s="27" t="s">
        <v>38</v>
      </c>
      <c r="K13" s="31" t="s">
        <v>39</v>
      </c>
      <c r="L13" s="35">
        <v>43180</v>
      </c>
      <c r="M13" s="35">
        <v>43181</v>
      </c>
      <c r="N13" s="31">
        <f>1330.96/2</f>
        <v>665.48</v>
      </c>
      <c r="O13" s="31">
        <f>1330.96/2</f>
        <v>665.48</v>
      </c>
      <c r="P13" s="31">
        <f t="shared" si="0"/>
        <v>1330.96</v>
      </c>
      <c r="Q13" s="27">
        <v>4</v>
      </c>
      <c r="R13" s="31">
        <v>120</v>
      </c>
      <c r="S13" s="27"/>
      <c r="T13" s="31"/>
      <c r="U13" s="32">
        <f t="shared" si="1"/>
        <v>480</v>
      </c>
      <c r="V13" s="31">
        <f t="shared" si="2"/>
        <v>1810.96</v>
      </c>
      <c r="W13" s="31">
        <f t="shared" si="3"/>
        <v>1810.96</v>
      </c>
      <c r="X13" s="33"/>
    </row>
    <row r="14" spans="1:24" ht="38.25" x14ac:dyDescent="0.2">
      <c r="A14" s="34" t="s">
        <v>233</v>
      </c>
      <c r="B14" s="34" t="s">
        <v>233</v>
      </c>
      <c r="C14" s="27" t="s">
        <v>223</v>
      </c>
      <c r="D14" s="26" t="s">
        <v>104</v>
      </c>
      <c r="E14" s="20" t="s">
        <v>55</v>
      </c>
      <c r="F14" s="34" t="s">
        <v>47</v>
      </c>
      <c r="G14" s="30" t="s">
        <v>31</v>
      </c>
      <c r="H14" s="27" t="s">
        <v>32</v>
      </c>
      <c r="I14" s="27" t="s">
        <v>33</v>
      </c>
      <c r="J14" s="27" t="s">
        <v>38</v>
      </c>
      <c r="K14" s="31" t="s">
        <v>39</v>
      </c>
      <c r="L14" s="35">
        <v>43186</v>
      </c>
      <c r="M14" s="35">
        <v>43187</v>
      </c>
      <c r="N14" s="31">
        <f>2462.46/2</f>
        <v>1231.23</v>
      </c>
      <c r="O14" s="31">
        <f>2462.46/2</f>
        <v>1231.23</v>
      </c>
      <c r="P14" s="31">
        <f t="shared" si="0"/>
        <v>2462.46</v>
      </c>
      <c r="Q14" s="27"/>
      <c r="R14" s="31"/>
      <c r="S14" s="27"/>
      <c r="T14" s="31"/>
      <c r="U14" s="32">
        <f t="shared" si="1"/>
        <v>0</v>
      </c>
      <c r="V14" s="31">
        <f t="shared" si="2"/>
        <v>2462.46</v>
      </c>
      <c r="W14" s="31">
        <f t="shared" si="3"/>
        <v>2462.46</v>
      </c>
      <c r="X14" s="33"/>
    </row>
  </sheetData>
  <mergeCells count="27">
    <mergeCell ref="V8:V9"/>
    <mergeCell ref="N8:N9"/>
    <mergeCell ref="P8:P9"/>
    <mergeCell ref="Q8:R8"/>
    <mergeCell ref="S8:T8"/>
    <mergeCell ref="U8:U9"/>
    <mergeCell ref="G8:G9"/>
    <mergeCell ref="H8:I8"/>
    <mergeCell ref="J8:K8"/>
    <mergeCell ref="L8:L9"/>
    <mergeCell ref="M8:M9"/>
    <mergeCell ref="V5:W5"/>
    <mergeCell ref="A6:X6"/>
    <mergeCell ref="A7:B7"/>
    <mergeCell ref="C7:E7"/>
    <mergeCell ref="F7:M7"/>
    <mergeCell ref="N7:P7"/>
    <mergeCell ref="Q7:V7"/>
    <mergeCell ref="W7:W9"/>
    <mergeCell ref="X7:X9"/>
    <mergeCell ref="A8:A9"/>
    <mergeCell ref="O8:O9"/>
    <mergeCell ref="B8:B9"/>
    <mergeCell ref="C8:C9"/>
    <mergeCell ref="D8:D9"/>
    <mergeCell ref="E8:E9"/>
    <mergeCell ref="F8:F9"/>
  </mergeCells>
  <pageMargins left="0" right="0" top="0.39370078740157505" bottom="0.39370078740157505" header="0" footer="0"/>
  <pageSetup paperSize="9" fitToWidth="0" fitToHeight="0" pageOrder="overThenDown" orientation="portrait" r:id="rId1"/>
  <headerFooter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topLeftCell="M1" workbookViewId="0">
      <selection activeCell="E11" sqref="E11"/>
    </sheetView>
  </sheetViews>
  <sheetFormatPr defaultRowHeight="15" customHeight="1" x14ac:dyDescent="0.2"/>
  <cols>
    <col min="1" max="1" width="19.125" customWidth="1"/>
    <col min="2" max="2" width="28.875" bestFit="1" customWidth="1"/>
    <col min="3" max="3" width="46" bestFit="1" customWidth="1"/>
    <col min="4" max="4" width="12" customWidth="1"/>
    <col min="5" max="5" width="17.5" customWidth="1"/>
    <col min="6" max="6" width="35.125" customWidth="1"/>
    <col min="7" max="7" width="11.25" customWidth="1"/>
    <col min="8" max="8" width="4.75" customWidth="1"/>
    <col min="9" max="9" width="16.5" customWidth="1"/>
    <col min="10" max="10" width="4" customWidth="1"/>
    <col min="11" max="11" width="16.75" customWidth="1"/>
    <col min="12" max="12" width="12.125" customWidth="1"/>
    <col min="13" max="13" width="12.25" customWidth="1"/>
    <col min="14" max="14" width="14" customWidth="1"/>
    <col min="15" max="15" width="14.25" customWidth="1"/>
    <col min="16" max="23" width="18" customWidth="1"/>
    <col min="24" max="24" width="38.375" customWidth="1"/>
    <col min="25" max="1024" width="18" customWidth="1"/>
    <col min="1025" max="1025" width="9" customWidth="1"/>
  </cols>
  <sheetData>
    <row r="1" spans="1:24" ht="14.2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4.2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3.2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40" t="s">
        <v>0</v>
      </c>
      <c r="W5" s="40"/>
      <c r="X5" s="8">
        <v>43191</v>
      </c>
    </row>
    <row r="6" spans="1:24" x14ac:dyDescent="0.25">
      <c r="A6" s="41" t="s">
        <v>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</row>
    <row r="7" spans="1:24" x14ac:dyDescent="0.25">
      <c r="A7" s="41" t="s">
        <v>5</v>
      </c>
      <c r="B7" s="41"/>
      <c r="C7" s="41" t="s">
        <v>6</v>
      </c>
      <c r="D7" s="41"/>
      <c r="E7" s="41"/>
      <c r="F7" s="41" t="s">
        <v>3</v>
      </c>
      <c r="G7" s="41"/>
      <c r="H7" s="41"/>
      <c r="I7" s="41"/>
      <c r="J7" s="41"/>
      <c r="K7" s="41"/>
      <c r="L7" s="41"/>
      <c r="M7" s="41"/>
      <c r="N7" s="41" t="s">
        <v>7</v>
      </c>
      <c r="O7" s="41"/>
      <c r="P7" s="41"/>
      <c r="Q7" s="41" t="s">
        <v>1</v>
      </c>
      <c r="R7" s="41"/>
      <c r="S7" s="41"/>
      <c r="T7" s="41"/>
      <c r="U7" s="41"/>
      <c r="V7" s="41"/>
      <c r="W7" s="41" t="s">
        <v>8</v>
      </c>
      <c r="X7" s="41" t="s">
        <v>9</v>
      </c>
    </row>
    <row r="8" spans="1:24" s="9" customFormat="1" x14ac:dyDescent="0.25">
      <c r="A8" s="39" t="s">
        <v>10</v>
      </c>
      <c r="B8" s="39" t="s">
        <v>11</v>
      </c>
      <c r="C8" s="39" t="s">
        <v>12</v>
      </c>
      <c r="D8" s="39" t="s">
        <v>13</v>
      </c>
      <c r="E8" s="39" t="s">
        <v>14</v>
      </c>
      <c r="F8" s="39" t="s">
        <v>15</v>
      </c>
      <c r="G8" s="39" t="s">
        <v>16</v>
      </c>
      <c r="H8" s="39" t="s">
        <v>17</v>
      </c>
      <c r="I8" s="39"/>
      <c r="J8" s="38" t="s">
        <v>18</v>
      </c>
      <c r="K8" s="38"/>
      <c r="L8" s="39" t="s">
        <v>19</v>
      </c>
      <c r="M8" s="39" t="s">
        <v>20</v>
      </c>
      <c r="N8" s="38" t="s">
        <v>21</v>
      </c>
      <c r="O8" s="38" t="s">
        <v>22</v>
      </c>
      <c r="P8" s="38" t="s">
        <v>23</v>
      </c>
      <c r="Q8" s="38" t="s">
        <v>24</v>
      </c>
      <c r="R8" s="38"/>
      <c r="S8" s="38" t="s">
        <v>25</v>
      </c>
      <c r="T8" s="38"/>
      <c r="U8" s="39" t="s">
        <v>26</v>
      </c>
      <c r="V8" s="38" t="s">
        <v>23</v>
      </c>
      <c r="W8" s="41"/>
      <c r="X8" s="41"/>
    </row>
    <row r="9" spans="1:24" s="9" customFormat="1" ht="17.25" customHeight="1" x14ac:dyDescent="0.25">
      <c r="A9" s="39"/>
      <c r="B9" s="39"/>
      <c r="C9" s="39"/>
      <c r="D9" s="39"/>
      <c r="E9" s="39"/>
      <c r="F9" s="39"/>
      <c r="G9" s="39"/>
      <c r="H9" s="10" t="s">
        <v>27</v>
      </c>
      <c r="I9" s="10" t="s">
        <v>28</v>
      </c>
      <c r="J9" s="10" t="s">
        <v>27</v>
      </c>
      <c r="K9" s="11" t="s">
        <v>29</v>
      </c>
      <c r="L9" s="39"/>
      <c r="M9" s="39"/>
      <c r="N9" s="38"/>
      <c r="O9" s="38"/>
      <c r="P9" s="38"/>
      <c r="Q9" s="10" t="s">
        <v>2</v>
      </c>
      <c r="R9" s="11" t="s">
        <v>30</v>
      </c>
      <c r="S9" s="10" t="s">
        <v>2</v>
      </c>
      <c r="T9" s="11" t="s">
        <v>30</v>
      </c>
      <c r="U9" s="39"/>
      <c r="V9" s="38"/>
      <c r="W9" s="41"/>
      <c r="X9" s="41"/>
    </row>
    <row r="10" spans="1:24" ht="47.25" customHeight="1" x14ac:dyDescent="0.2">
      <c r="A10" s="34" t="s">
        <v>233</v>
      </c>
      <c r="B10" s="34" t="s">
        <v>234</v>
      </c>
      <c r="C10" s="34" t="s">
        <v>183</v>
      </c>
      <c r="D10" s="29" t="s">
        <v>188</v>
      </c>
      <c r="E10" s="34" t="s">
        <v>207</v>
      </c>
      <c r="F10" s="34" t="s">
        <v>235</v>
      </c>
      <c r="G10" s="30" t="s">
        <v>31</v>
      </c>
      <c r="H10" s="27" t="s">
        <v>32</v>
      </c>
      <c r="I10" s="27" t="s">
        <v>33</v>
      </c>
      <c r="J10" s="27" t="s">
        <v>111</v>
      </c>
      <c r="K10" s="31" t="s">
        <v>112</v>
      </c>
      <c r="L10" s="35">
        <v>43201</v>
      </c>
      <c r="M10" s="35">
        <v>43203</v>
      </c>
      <c r="N10" s="31">
        <f>756.55/2</f>
        <v>378.27499999999998</v>
      </c>
      <c r="O10" s="31">
        <f>756.55/2</f>
        <v>378.27499999999998</v>
      </c>
      <c r="P10" s="31">
        <f>N10+O10</f>
        <v>756.55</v>
      </c>
      <c r="Q10" s="27">
        <v>2</v>
      </c>
      <c r="R10" s="31">
        <v>120</v>
      </c>
      <c r="S10" s="27">
        <v>1</v>
      </c>
      <c r="T10" s="31">
        <v>25</v>
      </c>
      <c r="U10" s="32">
        <f t="shared" ref="U10:U17" si="0">(Q10*R10)+(S10*T10)</f>
        <v>265</v>
      </c>
      <c r="V10" s="31">
        <f t="shared" ref="V10:V17" si="1">P10+U10</f>
        <v>1021.55</v>
      </c>
      <c r="W10" s="31">
        <f t="shared" ref="W10:W17" si="2">V10</f>
        <v>1021.55</v>
      </c>
      <c r="X10" s="37" t="s">
        <v>237</v>
      </c>
    </row>
    <row r="11" spans="1:24" ht="51" x14ac:dyDescent="0.2">
      <c r="A11" s="34" t="s">
        <v>233</v>
      </c>
      <c r="B11" s="34" t="s">
        <v>234</v>
      </c>
      <c r="C11" s="27" t="s">
        <v>236</v>
      </c>
      <c r="D11" s="29" t="s">
        <v>243</v>
      </c>
      <c r="E11" s="34" t="s">
        <v>244</v>
      </c>
      <c r="F11" s="34" t="s">
        <v>235</v>
      </c>
      <c r="G11" s="30" t="s">
        <v>31</v>
      </c>
      <c r="H11" s="27" t="s">
        <v>32</v>
      </c>
      <c r="I11" s="27" t="s">
        <v>33</v>
      </c>
      <c r="J11" s="27" t="s">
        <v>111</v>
      </c>
      <c r="K11" s="31" t="s">
        <v>112</v>
      </c>
      <c r="L11" s="35">
        <v>43201</v>
      </c>
      <c r="M11" s="35">
        <v>43203</v>
      </c>
      <c r="N11" s="31">
        <f>756.55/2</f>
        <v>378.27499999999998</v>
      </c>
      <c r="O11" s="31">
        <f>756.55/2</f>
        <v>378.27499999999998</v>
      </c>
      <c r="P11" s="31">
        <f t="shared" ref="P11:P17" si="3">N11+O11</f>
        <v>756.55</v>
      </c>
      <c r="Q11" s="27">
        <v>2</v>
      </c>
      <c r="R11" s="31">
        <v>120</v>
      </c>
      <c r="S11" s="27">
        <v>0</v>
      </c>
      <c r="T11" s="31">
        <v>0</v>
      </c>
      <c r="U11" s="32">
        <f t="shared" si="0"/>
        <v>240</v>
      </c>
      <c r="V11" s="31">
        <f t="shared" si="1"/>
        <v>996.55</v>
      </c>
      <c r="W11" s="31">
        <f t="shared" si="2"/>
        <v>996.55</v>
      </c>
      <c r="X11" s="33"/>
    </row>
    <row r="12" spans="1:24" ht="38.25" x14ac:dyDescent="0.2">
      <c r="A12" s="34" t="s">
        <v>231</v>
      </c>
      <c r="B12" s="34" t="s">
        <v>238</v>
      </c>
      <c r="C12" s="27" t="s">
        <v>134</v>
      </c>
      <c r="D12" s="29" t="s">
        <v>149</v>
      </c>
      <c r="E12" s="34" t="s">
        <v>150</v>
      </c>
      <c r="F12" s="34" t="s">
        <v>235</v>
      </c>
      <c r="G12" s="30" t="s">
        <v>31</v>
      </c>
      <c r="H12" s="27" t="s">
        <v>32</v>
      </c>
      <c r="I12" s="27" t="s">
        <v>33</v>
      </c>
      <c r="J12" s="27" t="s">
        <v>111</v>
      </c>
      <c r="K12" s="31" t="s">
        <v>112</v>
      </c>
      <c r="L12" s="35">
        <v>43201</v>
      </c>
      <c r="M12" s="35">
        <v>43203</v>
      </c>
      <c r="N12" s="31">
        <f>792.22/2</f>
        <v>396.11</v>
      </c>
      <c r="O12" s="31">
        <f>792.22/2</f>
        <v>396.11</v>
      </c>
      <c r="P12" s="31">
        <f t="shared" si="3"/>
        <v>792.22</v>
      </c>
      <c r="Q12" s="27">
        <v>5</v>
      </c>
      <c r="R12" s="31">
        <v>120</v>
      </c>
      <c r="S12" s="27">
        <v>0</v>
      </c>
      <c r="T12" s="31">
        <v>0</v>
      </c>
      <c r="U12" s="32">
        <f t="shared" si="0"/>
        <v>600</v>
      </c>
      <c r="V12" s="31">
        <f t="shared" si="1"/>
        <v>1392.22</v>
      </c>
      <c r="W12" s="31">
        <f t="shared" si="2"/>
        <v>1392.22</v>
      </c>
      <c r="X12" s="33"/>
    </row>
    <row r="13" spans="1:24" ht="25.5" x14ac:dyDescent="0.2">
      <c r="A13" s="34" t="s">
        <v>232</v>
      </c>
      <c r="B13" s="34" t="s">
        <v>239</v>
      </c>
      <c r="C13" s="27" t="s">
        <v>123</v>
      </c>
      <c r="D13" s="29" t="s">
        <v>124</v>
      </c>
      <c r="E13" s="34" t="s">
        <v>132</v>
      </c>
      <c r="F13" s="34" t="s">
        <v>240</v>
      </c>
      <c r="G13" s="30" t="s">
        <v>31</v>
      </c>
      <c r="H13" s="27" t="s">
        <v>32</v>
      </c>
      <c r="I13" s="27" t="s">
        <v>33</v>
      </c>
      <c r="J13" s="27" t="s">
        <v>38</v>
      </c>
      <c r="K13" s="31" t="s">
        <v>39</v>
      </c>
      <c r="L13" s="35">
        <v>43216</v>
      </c>
      <c r="M13" s="35">
        <v>43217</v>
      </c>
      <c r="N13" s="31">
        <f>1052.65/2</f>
        <v>526.32500000000005</v>
      </c>
      <c r="O13" s="31">
        <f>1052.65/2</f>
        <v>526.32500000000005</v>
      </c>
      <c r="P13" s="31">
        <f t="shared" si="3"/>
        <v>1052.6500000000001</v>
      </c>
      <c r="Q13" s="27">
        <v>2</v>
      </c>
      <c r="R13" s="31">
        <v>120</v>
      </c>
      <c r="S13" s="27">
        <v>0</v>
      </c>
      <c r="T13" s="31">
        <v>0</v>
      </c>
      <c r="U13" s="32">
        <f t="shared" si="0"/>
        <v>240</v>
      </c>
      <c r="V13" s="31">
        <f t="shared" si="1"/>
        <v>1292.6500000000001</v>
      </c>
      <c r="W13" s="31">
        <f t="shared" si="2"/>
        <v>1292.6500000000001</v>
      </c>
      <c r="X13" s="33"/>
    </row>
    <row r="14" spans="1:24" ht="25.5" x14ac:dyDescent="0.2">
      <c r="A14" s="34" t="s">
        <v>232</v>
      </c>
      <c r="B14" s="34" t="s">
        <v>232</v>
      </c>
      <c r="C14" s="27" t="s">
        <v>80</v>
      </c>
      <c r="D14" s="29" t="s">
        <v>104</v>
      </c>
      <c r="E14" s="20" t="s">
        <v>90</v>
      </c>
      <c r="F14" s="34" t="s">
        <v>241</v>
      </c>
      <c r="G14" s="30" t="s">
        <v>31</v>
      </c>
      <c r="H14" s="27" t="s">
        <v>32</v>
      </c>
      <c r="I14" s="27" t="s">
        <v>33</v>
      </c>
      <c r="J14" s="27" t="s">
        <v>111</v>
      </c>
      <c r="K14" s="31" t="s">
        <v>112</v>
      </c>
      <c r="L14" s="35">
        <v>43208</v>
      </c>
      <c r="M14" s="35">
        <v>43208</v>
      </c>
      <c r="N14" s="31">
        <f>611.51/2</f>
        <v>305.755</v>
      </c>
      <c r="O14" s="31">
        <f>611.51/2</f>
        <v>305.755</v>
      </c>
      <c r="P14" s="31">
        <f t="shared" si="3"/>
        <v>611.51</v>
      </c>
      <c r="Q14" s="27">
        <v>0</v>
      </c>
      <c r="R14" s="31">
        <v>0</v>
      </c>
      <c r="S14" s="27">
        <v>0</v>
      </c>
      <c r="T14" s="31">
        <v>0</v>
      </c>
      <c r="U14" s="32">
        <f t="shared" si="0"/>
        <v>0</v>
      </c>
      <c r="V14" s="31">
        <f t="shared" si="1"/>
        <v>611.51</v>
      </c>
      <c r="W14" s="31">
        <f t="shared" si="2"/>
        <v>611.51</v>
      </c>
      <c r="X14" s="33"/>
    </row>
    <row r="15" spans="1:24" ht="25.5" x14ac:dyDescent="0.2">
      <c r="A15" s="34" t="s">
        <v>232</v>
      </c>
      <c r="B15" s="34" t="s">
        <v>215</v>
      </c>
      <c r="C15" s="27" t="s">
        <v>48</v>
      </c>
      <c r="D15" s="29" t="s">
        <v>81</v>
      </c>
      <c r="E15" s="20" t="s">
        <v>56</v>
      </c>
      <c r="F15" s="34" t="s">
        <v>241</v>
      </c>
      <c r="G15" s="30" t="s">
        <v>31</v>
      </c>
      <c r="H15" s="27" t="s">
        <v>32</v>
      </c>
      <c r="I15" s="27" t="s">
        <v>33</v>
      </c>
      <c r="J15" s="27" t="s">
        <v>111</v>
      </c>
      <c r="K15" s="31" t="s">
        <v>112</v>
      </c>
      <c r="L15" s="35">
        <v>43208</v>
      </c>
      <c r="M15" s="35">
        <v>43208</v>
      </c>
      <c r="N15" s="31">
        <f>611.51/2</f>
        <v>305.755</v>
      </c>
      <c r="O15" s="31">
        <f>611.51/2</f>
        <v>305.755</v>
      </c>
      <c r="P15" s="31">
        <f t="shared" si="3"/>
        <v>611.51</v>
      </c>
      <c r="Q15" s="27">
        <v>3</v>
      </c>
      <c r="R15" s="31">
        <v>120</v>
      </c>
      <c r="S15" s="27"/>
      <c r="T15" s="31"/>
      <c r="U15" s="32">
        <f t="shared" si="0"/>
        <v>360</v>
      </c>
      <c r="V15" s="31">
        <f t="shared" si="1"/>
        <v>971.51</v>
      </c>
      <c r="W15" s="31">
        <f t="shared" si="2"/>
        <v>971.51</v>
      </c>
      <c r="X15" s="33"/>
    </row>
    <row r="16" spans="1:24" ht="38.25" x14ac:dyDescent="0.2">
      <c r="A16" s="34" t="s">
        <v>232</v>
      </c>
      <c r="B16" s="34" t="s">
        <v>232</v>
      </c>
      <c r="C16" s="27" t="s">
        <v>80</v>
      </c>
      <c r="D16" s="29" t="s">
        <v>104</v>
      </c>
      <c r="E16" s="20" t="s">
        <v>90</v>
      </c>
      <c r="F16" s="34" t="s">
        <v>242</v>
      </c>
      <c r="G16" s="30" t="s">
        <v>31</v>
      </c>
      <c r="H16" s="27" t="s">
        <v>32</v>
      </c>
      <c r="I16" s="27" t="s">
        <v>33</v>
      </c>
      <c r="J16" s="27" t="s">
        <v>38</v>
      </c>
      <c r="K16" s="31" t="s">
        <v>39</v>
      </c>
      <c r="L16" s="35">
        <v>43214</v>
      </c>
      <c r="M16" s="35">
        <v>43215</v>
      </c>
      <c r="N16" s="31">
        <v>790.16</v>
      </c>
      <c r="O16" s="31">
        <v>464.01</v>
      </c>
      <c r="P16" s="31">
        <f t="shared" si="3"/>
        <v>1254.17</v>
      </c>
      <c r="Q16" s="27">
        <v>0</v>
      </c>
      <c r="R16" s="31">
        <v>0</v>
      </c>
      <c r="S16" s="27">
        <v>0</v>
      </c>
      <c r="T16" s="31">
        <v>0</v>
      </c>
      <c r="U16" s="32">
        <f t="shared" si="0"/>
        <v>0</v>
      </c>
      <c r="V16" s="31">
        <f t="shared" si="1"/>
        <v>1254.17</v>
      </c>
      <c r="W16" s="31">
        <f t="shared" si="2"/>
        <v>1254.17</v>
      </c>
      <c r="X16" s="33"/>
    </row>
    <row r="17" spans="1:24" ht="38.25" x14ac:dyDescent="0.2">
      <c r="A17" s="34" t="s">
        <v>232</v>
      </c>
      <c r="B17" s="34" t="s">
        <v>215</v>
      </c>
      <c r="C17" s="27" t="s">
        <v>48</v>
      </c>
      <c r="D17" s="29" t="s">
        <v>81</v>
      </c>
      <c r="E17" s="20" t="s">
        <v>56</v>
      </c>
      <c r="F17" s="34" t="s">
        <v>242</v>
      </c>
      <c r="G17" s="30" t="s">
        <v>31</v>
      </c>
      <c r="H17" s="27" t="s">
        <v>32</v>
      </c>
      <c r="I17" s="27" t="s">
        <v>33</v>
      </c>
      <c r="J17" s="27" t="s">
        <v>38</v>
      </c>
      <c r="K17" s="31" t="s">
        <v>39</v>
      </c>
      <c r="L17" s="35">
        <v>43214</v>
      </c>
      <c r="M17" s="35">
        <v>43215</v>
      </c>
      <c r="N17" s="31">
        <v>790.16</v>
      </c>
      <c r="O17" s="31">
        <v>464.01</v>
      </c>
      <c r="P17" s="31">
        <f t="shared" si="3"/>
        <v>1254.17</v>
      </c>
      <c r="Q17" s="27">
        <v>4</v>
      </c>
      <c r="R17" s="31">
        <v>120</v>
      </c>
      <c r="S17" s="27">
        <v>0</v>
      </c>
      <c r="T17" s="31">
        <v>0</v>
      </c>
      <c r="U17" s="32">
        <f t="shared" si="0"/>
        <v>480</v>
      </c>
      <c r="V17" s="31">
        <f t="shared" si="1"/>
        <v>1734.17</v>
      </c>
      <c r="W17" s="31">
        <f t="shared" si="2"/>
        <v>1734.17</v>
      </c>
      <c r="X17" s="33"/>
    </row>
  </sheetData>
  <mergeCells count="27">
    <mergeCell ref="V5:W5"/>
    <mergeCell ref="A6:X6"/>
    <mergeCell ref="A7:B7"/>
    <mergeCell ref="C7:E7"/>
    <mergeCell ref="F7:M7"/>
    <mergeCell ref="N7:P7"/>
    <mergeCell ref="Q7:V7"/>
    <mergeCell ref="W7:W9"/>
    <mergeCell ref="X7:X9"/>
    <mergeCell ref="A8:A9"/>
    <mergeCell ref="O8:O9"/>
    <mergeCell ref="B8:B9"/>
    <mergeCell ref="C8:C9"/>
    <mergeCell ref="D8:D9"/>
    <mergeCell ref="E8:E9"/>
    <mergeCell ref="F8:F9"/>
    <mergeCell ref="G8:G9"/>
    <mergeCell ref="H8:I8"/>
    <mergeCell ref="J8:K8"/>
    <mergeCell ref="L8:L9"/>
    <mergeCell ref="M8:M9"/>
    <mergeCell ref="V8:V9"/>
    <mergeCell ref="N8:N9"/>
    <mergeCell ref="P8:P9"/>
    <mergeCell ref="Q8:R8"/>
    <mergeCell ref="S8:T8"/>
    <mergeCell ref="U8:U9"/>
  </mergeCells>
  <pageMargins left="0" right="0" top="0.39370078740157505" bottom="0.39370078740157505" header="0" footer="0"/>
  <pageSetup paperSize="9" fitToWidth="0" fitToHeight="0" pageOrder="overThenDown" orientation="portrait" r:id="rId1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EXECUTADO_-_JUL_-_2017</vt:lpstr>
      <vt:lpstr>EXECUTADO_-_AGO_-_2017 </vt:lpstr>
      <vt:lpstr>EXECUTADO_-_SET_-_2017  </vt:lpstr>
      <vt:lpstr>EXECUTADO_-_OUT_-_2017</vt:lpstr>
      <vt:lpstr>EXECUTADO_-_NOV_-_2017 </vt:lpstr>
      <vt:lpstr>EXECUTADO_-_DEZ_-_2017</vt:lpstr>
      <vt:lpstr>EXECUTADO_-_JAN_-_2018</vt:lpstr>
      <vt:lpstr>EXECUTADO_-_MARÇO_-_2018</vt:lpstr>
      <vt:lpstr>EXECUTADO_-_ABRIL_-_2018</vt:lpstr>
      <vt:lpstr>EXECUTADO_-_MAIO_-_2018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Santos</dc:creator>
  <cp:lastModifiedBy>Cristina Santos</cp:lastModifiedBy>
  <cp:revision>9</cp:revision>
  <dcterms:created xsi:type="dcterms:W3CDTF">2017-08-07T12:58:20Z</dcterms:created>
  <dcterms:modified xsi:type="dcterms:W3CDTF">2018-06-05T19:35:16Z</dcterms:modified>
</cp:coreProperties>
</file>