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Servidores e Cargos (Gustavo Lelis)\"/>
    </mc:Choice>
  </mc:AlternateContent>
  <xr:revisionPtr revIDLastSave="0" documentId="13_ncr:1_{8AD019EA-4D61-4793-BEC8-2B4C731422B6}" xr6:coauthVersionLast="47" xr6:coauthVersionMax="47" xr10:uidLastSave="{00000000-0000-0000-0000-000000000000}"/>
  <bookViews>
    <workbookView xWindow="-120" yWindow="-120" windowWidth="20730" windowHeight="11160" firstSheet="4" activeTab="11" xr2:uid="{00000000-000D-0000-FFFF-FFFF00000000}"/>
  </bookViews>
  <sheets>
    <sheet name="Jan 2023" sheetId="28" r:id="rId1"/>
    <sheet name="Fev 2023" sheetId="29" r:id="rId2"/>
    <sheet name="Mar 2023" sheetId="30" r:id="rId3"/>
    <sheet name="Abr 2023" sheetId="31" r:id="rId4"/>
    <sheet name="Mai 2023" sheetId="32" r:id="rId5"/>
    <sheet name="Jun 2023" sheetId="33" r:id="rId6"/>
    <sheet name="Jul 2023" sheetId="34" r:id="rId7"/>
    <sheet name="Ago 2023" sheetId="35" r:id="rId8"/>
    <sheet name="Set 2023" sheetId="36" r:id="rId9"/>
    <sheet name="Out 2023" sheetId="37" r:id="rId10"/>
    <sheet name="Nov 2023" sheetId="38" r:id="rId11"/>
    <sheet name="Dez 2023" sheetId="39" r:id="rId12"/>
  </sheets>
  <calcPr calcId="191029"/>
</workbook>
</file>

<file path=xl/calcChain.xml><?xml version="1.0" encoding="utf-8"?>
<calcChain xmlns="http://schemas.openxmlformats.org/spreadsheetml/2006/main">
  <c r="I88" i="39" l="1"/>
  <c r="H88" i="39"/>
  <c r="G88" i="39"/>
  <c r="D88" i="39"/>
  <c r="C88" i="39"/>
  <c r="E88" i="39" s="1"/>
  <c r="E86" i="39"/>
  <c r="I85" i="39"/>
  <c r="H85" i="39"/>
  <c r="G85" i="39"/>
  <c r="D85" i="39"/>
  <c r="C85" i="39"/>
  <c r="E85" i="39" s="1"/>
  <c r="D84" i="39"/>
  <c r="D89" i="39" s="1"/>
  <c r="C84" i="39"/>
  <c r="E84" i="39" s="1"/>
  <c r="E89" i="39" s="1"/>
  <c r="I81" i="39"/>
  <c r="I80" i="39"/>
  <c r="I79" i="39"/>
  <c r="I78" i="39"/>
  <c r="I77" i="39"/>
  <c r="I76" i="39"/>
  <c r="I75" i="39"/>
  <c r="I74" i="39"/>
  <c r="I73" i="39"/>
  <c r="I72" i="39"/>
  <c r="I71" i="39"/>
  <c r="I70" i="39"/>
  <c r="I69" i="39"/>
  <c r="I66" i="39"/>
  <c r="I65" i="39"/>
  <c r="I64" i="39"/>
  <c r="I63" i="39"/>
  <c r="I62" i="39"/>
  <c r="I60" i="39"/>
  <c r="I59" i="39"/>
  <c r="I58" i="39"/>
  <c r="I57" i="39"/>
  <c r="I56" i="39"/>
  <c r="I55" i="39"/>
  <c r="I54" i="39"/>
  <c r="I53" i="39"/>
  <c r="I52" i="39"/>
  <c r="I51" i="39"/>
  <c r="I50" i="39"/>
  <c r="I49" i="39"/>
  <c r="I48" i="39"/>
  <c r="I47" i="39"/>
  <c r="I46" i="39"/>
  <c r="I44" i="39"/>
  <c r="I39" i="39"/>
  <c r="H39" i="39"/>
  <c r="G39" i="39"/>
  <c r="D39" i="39"/>
  <c r="C39" i="39"/>
  <c r="E39" i="39" s="1"/>
  <c r="D38" i="39"/>
  <c r="C38" i="39"/>
  <c r="I37" i="39"/>
  <c r="H37" i="39"/>
  <c r="G37" i="39"/>
  <c r="D37" i="39"/>
  <c r="C37" i="39"/>
  <c r="I25" i="39"/>
  <c r="H25" i="39"/>
  <c r="G25" i="39"/>
  <c r="E25" i="39"/>
  <c r="D25" i="39"/>
  <c r="C25" i="39"/>
  <c r="I24" i="39"/>
  <c r="H24" i="39"/>
  <c r="G24" i="39"/>
  <c r="G23" i="39"/>
  <c r="E23" i="39"/>
  <c r="G22" i="39"/>
  <c r="I21" i="39"/>
  <c r="H21" i="39"/>
  <c r="G21" i="39"/>
  <c r="D21" i="39"/>
  <c r="C21" i="39"/>
  <c r="E21" i="39" s="1"/>
  <c r="G20" i="39"/>
  <c r="I19" i="39"/>
  <c r="H19" i="39"/>
  <c r="G19" i="39"/>
  <c r="D19" i="39"/>
  <c r="C19" i="39"/>
  <c r="E19" i="39" s="1"/>
  <c r="I18" i="39"/>
  <c r="H18" i="39"/>
  <c r="G18" i="39"/>
  <c r="D18" i="39"/>
  <c r="C18" i="39"/>
  <c r="I17" i="39"/>
  <c r="H17" i="39"/>
  <c r="G17" i="39"/>
  <c r="C17" i="39"/>
  <c r="E17" i="39" s="1"/>
  <c r="C17" i="38"/>
  <c r="E17" i="38" s="1"/>
  <c r="G17" i="38"/>
  <c r="H17" i="38"/>
  <c r="I17" i="38"/>
  <c r="C18" i="38"/>
  <c r="E18" i="38" s="1"/>
  <c r="D18" i="38"/>
  <c r="G18" i="38"/>
  <c r="H18" i="38"/>
  <c r="I18" i="38"/>
  <c r="C19" i="38"/>
  <c r="E19" i="38" s="1"/>
  <c r="D19" i="38"/>
  <c r="G19" i="38"/>
  <c r="H19" i="38"/>
  <c r="I19" i="38"/>
  <c r="G20" i="38"/>
  <c r="C21" i="38"/>
  <c r="E21" i="38" s="1"/>
  <c r="D21" i="38"/>
  <c r="G21" i="38"/>
  <c r="H21" i="38"/>
  <c r="I21" i="38"/>
  <c r="G22" i="38"/>
  <c r="E23" i="38"/>
  <c r="G23" i="38"/>
  <c r="G24" i="38"/>
  <c r="H24" i="38"/>
  <c r="I24" i="38"/>
  <c r="C25" i="38"/>
  <c r="D25" i="38"/>
  <c r="E25" i="38" s="1"/>
  <c r="G25" i="38"/>
  <c r="H25" i="38"/>
  <c r="I25" i="38"/>
  <c r="C37" i="38"/>
  <c r="D37" i="38"/>
  <c r="G37" i="38"/>
  <c r="H37" i="38"/>
  <c r="I37" i="38"/>
  <c r="C38" i="38"/>
  <c r="D38" i="38"/>
  <c r="C39" i="38"/>
  <c r="E39" i="38" s="1"/>
  <c r="D39" i="38"/>
  <c r="G39" i="38"/>
  <c r="H39" i="38"/>
  <c r="I39" i="38"/>
  <c r="I44" i="38"/>
  <c r="I46" i="38"/>
  <c r="I47" i="38"/>
  <c r="I48" i="38"/>
  <c r="I49" i="38"/>
  <c r="I50" i="38"/>
  <c r="I51" i="38"/>
  <c r="I52" i="38"/>
  <c r="I53" i="38"/>
  <c r="I54" i="38"/>
  <c r="I55" i="38"/>
  <c r="I56" i="38"/>
  <c r="I57" i="38"/>
  <c r="I58" i="38"/>
  <c r="I59" i="38"/>
  <c r="I60" i="38"/>
  <c r="I62" i="38"/>
  <c r="I63" i="38"/>
  <c r="I64" i="38"/>
  <c r="I65" i="38"/>
  <c r="I66" i="38"/>
  <c r="I69" i="38"/>
  <c r="I70" i="38"/>
  <c r="I71" i="38"/>
  <c r="I72" i="38"/>
  <c r="I73" i="38"/>
  <c r="I74" i="38"/>
  <c r="I75" i="38"/>
  <c r="I76" i="38"/>
  <c r="I77" i="38"/>
  <c r="I78" i="38"/>
  <c r="I79" i="38"/>
  <c r="I80" i="38"/>
  <c r="I81" i="38"/>
  <c r="C84" i="38"/>
  <c r="D84" i="38"/>
  <c r="C85" i="38"/>
  <c r="D85" i="38"/>
  <c r="G85" i="38"/>
  <c r="H85" i="38"/>
  <c r="I85" i="38"/>
  <c r="E86" i="38"/>
  <c r="C88" i="38"/>
  <c r="D88" i="38"/>
  <c r="D89" i="38" s="1"/>
  <c r="G88" i="38"/>
  <c r="H88" i="38"/>
  <c r="I88" i="38"/>
  <c r="G92" i="38"/>
  <c r="E18" i="39" l="1"/>
  <c r="E38" i="39"/>
  <c r="E37" i="39"/>
  <c r="C89" i="39"/>
  <c r="E38" i="38"/>
  <c r="H89" i="38"/>
  <c r="H92" i="38" s="1"/>
  <c r="E85" i="38"/>
  <c r="E37" i="38"/>
  <c r="E88" i="38"/>
  <c r="E84" i="38"/>
  <c r="E89" i="38"/>
  <c r="C89" i="38"/>
  <c r="G91" i="37" l="1"/>
  <c r="I87" i="37"/>
  <c r="H87" i="37"/>
  <c r="G87" i="37"/>
  <c r="D87" i="37"/>
  <c r="C87" i="37"/>
  <c r="E85" i="37"/>
  <c r="I84" i="37"/>
  <c r="H84" i="37"/>
  <c r="H88" i="37" s="1"/>
  <c r="H91" i="37" s="1"/>
  <c r="G84" i="37"/>
  <c r="D84" i="37"/>
  <c r="C84" i="37"/>
  <c r="E84" i="37" s="1"/>
  <c r="D83" i="37"/>
  <c r="C83" i="37"/>
  <c r="E83" i="37" s="1"/>
  <c r="I80" i="37"/>
  <c r="I79" i="37"/>
  <c r="I78" i="37"/>
  <c r="I77" i="37"/>
  <c r="I76" i="37"/>
  <c r="I75" i="37"/>
  <c r="I74" i="37"/>
  <c r="I73" i="37"/>
  <c r="I72" i="37"/>
  <c r="I71" i="37"/>
  <c r="I70" i="37"/>
  <c r="I69" i="37"/>
  <c r="I68" i="37"/>
  <c r="I65" i="37"/>
  <c r="I64" i="37"/>
  <c r="I63" i="37"/>
  <c r="I62" i="37"/>
  <c r="I61" i="37"/>
  <c r="I59" i="37"/>
  <c r="I58" i="37"/>
  <c r="I57" i="37"/>
  <c r="I56" i="37"/>
  <c r="I55" i="37"/>
  <c r="I54" i="37"/>
  <c r="I53" i="37"/>
  <c r="I52" i="37"/>
  <c r="I51" i="37"/>
  <c r="I50" i="37"/>
  <c r="I49" i="37"/>
  <c r="I48" i="37"/>
  <c r="I47" i="37"/>
  <c r="I46" i="37"/>
  <c r="I45" i="37"/>
  <c r="I43" i="37"/>
  <c r="I38" i="37"/>
  <c r="H38" i="37"/>
  <c r="G38" i="37"/>
  <c r="D38" i="37"/>
  <c r="C38" i="37"/>
  <c r="D37" i="37"/>
  <c r="C37" i="37"/>
  <c r="E37" i="37" s="1"/>
  <c r="I36" i="37"/>
  <c r="H36" i="37"/>
  <c r="G36" i="37"/>
  <c r="D36" i="37"/>
  <c r="C36" i="37"/>
  <c r="I24" i="37"/>
  <c r="H24" i="37"/>
  <c r="G24" i="37"/>
  <c r="D24" i="37"/>
  <c r="C24" i="37"/>
  <c r="E24" i="37" s="1"/>
  <c r="I23" i="37"/>
  <c r="H23" i="37"/>
  <c r="G23" i="37"/>
  <c r="E23" i="37"/>
  <c r="G22" i="37"/>
  <c r="E22" i="37"/>
  <c r="G21" i="37"/>
  <c r="I20" i="37"/>
  <c r="H20" i="37"/>
  <c r="G20" i="37"/>
  <c r="D20" i="37"/>
  <c r="C20" i="37"/>
  <c r="G19" i="37"/>
  <c r="I18" i="37"/>
  <c r="H18" i="37"/>
  <c r="G18" i="37"/>
  <c r="D18" i="37"/>
  <c r="C18" i="37"/>
  <c r="E18" i="37" s="1"/>
  <c r="I17" i="37"/>
  <c r="H17" i="37"/>
  <c r="G17" i="37"/>
  <c r="D17" i="37"/>
  <c r="E17" i="37" s="1"/>
  <c r="C17" i="37"/>
  <c r="I16" i="37"/>
  <c r="H16" i="37"/>
  <c r="G16" i="37"/>
  <c r="C16" i="37"/>
  <c r="E16" i="37" s="1"/>
  <c r="G88" i="36"/>
  <c r="I84" i="36"/>
  <c r="H84" i="36"/>
  <c r="G84" i="36"/>
  <c r="D84" i="36"/>
  <c r="C84" i="36"/>
  <c r="E82" i="36"/>
  <c r="I81" i="36"/>
  <c r="H81" i="36"/>
  <c r="H85" i="36" s="1"/>
  <c r="H88" i="36" s="1"/>
  <c r="G81" i="36"/>
  <c r="D81" i="36"/>
  <c r="C81" i="36"/>
  <c r="E81" i="36" s="1"/>
  <c r="D80" i="36"/>
  <c r="D85" i="36" s="1"/>
  <c r="C80" i="36"/>
  <c r="I77" i="36"/>
  <c r="I76" i="36"/>
  <c r="I75" i="36"/>
  <c r="I74" i="36"/>
  <c r="I73" i="36"/>
  <c r="I72" i="36"/>
  <c r="I71" i="36"/>
  <c r="I70" i="36"/>
  <c r="I69" i="36"/>
  <c r="I68" i="36"/>
  <c r="I67" i="36"/>
  <c r="I66" i="36"/>
  <c r="I65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0" i="36"/>
  <c r="I35" i="36"/>
  <c r="H35" i="36"/>
  <c r="G35" i="36"/>
  <c r="D35" i="36"/>
  <c r="C35" i="36"/>
  <c r="E35" i="36" s="1"/>
  <c r="D34" i="36"/>
  <c r="C34" i="36"/>
  <c r="I33" i="36"/>
  <c r="H33" i="36"/>
  <c r="G33" i="36"/>
  <c r="D33" i="36"/>
  <c r="C33" i="36"/>
  <c r="I21" i="36"/>
  <c r="H21" i="36"/>
  <c r="G21" i="36"/>
  <c r="D21" i="36"/>
  <c r="C21" i="36"/>
  <c r="I20" i="36"/>
  <c r="H20" i="36"/>
  <c r="G20" i="36"/>
  <c r="E20" i="36"/>
  <c r="G19" i="36"/>
  <c r="E19" i="36"/>
  <c r="G18" i="36"/>
  <c r="I17" i="36"/>
  <c r="H17" i="36"/>
  <c r="G17" i="36"/>
  <c r="D17" i="36"/>
  <c r="C17" i="36"/>
  <c r="E17" i="36" s="1"/>
  <c r="G16" i="36"/>
  <c r="I15" i="36"/>
  <c r="H15" i="36"/>
  <c r="G15" i="36"/>
  <c r="D15" i="36"/>
  <c r="C15" i="36"/>
  <c r="E15" i="36" s="1"/>
  <c r="I14" i="36"/>
  <c r="H14" i="36"/>
  <c r="G14" i="36"/>
  <c r="D14" i="36"/>
  <c r="C14" i="36"/>
  <c r="E14" i="36" s="1"/>
  <c r="I13" i="36"/>
  <c r="H13" i="36"/>
  <c r="G13" i="36"/>
  <c r="C13" i="36"/>
  <c r="E13" i="36" s="1"/>
  <c r="I87" i="35"/>
  <c r="H87" i="35"/>
  <c r="G87" i="35"/>
  <c r="D87" i="35"/>
  <c r="C87" i="35"/>
  <c r="E87" i="35" s="1"/>
  <c r="E85" i="35"/>
  <c r="I84" i="35"/>
  <c r="I88" i="35" s="1"/>
  <c r="H84" i="35"/>
  <c r="G84" i="35"/>
  <c r="G88" i="35" s="1"/>
  <c r="G91" i="35" s="1"/>
  <c r="D84" i="35"/>
  <c r="C84" i="35"/>
  <c r="D83" i="35"/>
  <c r="C83" i="35"/>
  <c r="E83" i="35" s="1"/>
  <c r="I80" i="35"/>
  <c r="I79" i="35"/>
  <c r="I78" i="35"/>
  <c r="I77" i="35"/>
  <c r="I76" i="35"/>
  <c r="I75" i="35"/>
  <c r="I74" i="35"/>
  <c r="I73" i="35"/>
  <c r="I72" i="35"/>
  <c r="I71" i="35"/>
  <c r="I70" i="35"/>
  <c r="I69" i="35"/>
  <c r="I68" i="35"/>
  <c r="I65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52" i="35"/>
  <c r="I51" i="35"/>
  <c r="I50" i="35"/>
  <c r="I49" i="35"/>
  <c r="I48" i="35"/>
  <c r="I47" i="35"/>
  <c r="I46" i="35"/>
  <c r="I45" i="35"/>
  <c r="I43" i="35"/>
  <c r="I38" i="35"/>
  <c r="H38" i="35"/>
  <c r="G38" i="35"/>
  <c r="D38" i="35"/>
  <c r="C38" i="35"/>
  <c r="E38" i="35" s="1"/>
  <c r="D37" i="35"/>
  <c r="C37" i="35"/>
  <c r="E37" i="35" s="1"/>
  <c r="I36" i="35"/>
  <c r="H36" i="35"/>
  <c r="G36" i="35"/>
  <c r="D36" i="35"/>
  <c r="C36" i="35"/>
  <c r="E36" i="35" s="1"/>
  <c r="I24" i="35"/>
  <c r="H24" i="35"/>
  <c r="G24" i="35"/>
  <c r="D24" i="35"/>
  <c r="C24" i="35"/>
  <c r="E24" i="35" s="1"/>
  <c r="I23" i="35"/>
  <c r="H23" i="35"/>
  <c r="G23" i="35"/>
  <c r="E23" i="35"/>
  <c r="G22" i="35"/>
  <c r="E22" i="35"/>
  <c r="G21" i="35"/>
  <c r="I20" i="35"/>
  <c r="H20" i="35"/>
  <c r="G20" i="35"/>
  <c r="D20" i="35"/>
  <c r="C20" i="35"/>
  <c r="G19" i="35"/>
  <c r="I18" i="35"/>
  <c r="H18" i="35"/>
  <c r="G18" i="35"/>
  <c r="D18" i="35"/>
  <c r="C18" i="35"/>
  <c r="I17" i="35"/>
  <c r="H17" i="35"/>
  <c r="G17" i="35"/>
  <c r="D17" i="35"/>
  <c r="C17" i="35"/>
  <c r="E17" i="35" s="1"/>
  <c r="I16" i="35"/>
  <c r="H16" i="35"/>
  <c r="G16" i="35"/>
  <c r="C16" i="35"/>
  <c r="E16" i="35" s="1"/>
  <c r="C16" i="34"/>
  <c r="E16" i="34" s="1"/>
  <c r="G16" i="34"/>
  <c r="H16" i="34"/>
  <c r="I16" i="34"/>
  <c r="C17" i="34"/>
  <c r="E17" i="34" s="1"/>
  <c r="D17" i="34"/>
  <c r="G17" i="34"/>
  <c r="H17" i="34"/>
  <c r="I17" i="34"/>
  <c r="C18" i="34"/>
  <c r="E18" i="34" s="1"/>
  <c r="D18" i="34"/>
  <c r="G18" i="34"/>
  <c r="H18" i="34"/>
  <c r="I18" i="34"/>
  <c r="G19" i="34"/>
  <c r="C20" i="34"/>
  <c r="E20" i="34" s="1"/>
  <c r="D20" i="34"/>
  <c r="G20" i="34"/>
  <c r="H20" i="34"/>
  <c r="I20" i="34"/>
  <c r="G21" i="34"/>
  <c r="E22" i="34"/>
  <c r="G22" i="34"/>
  <c r="E23" i="34"/>
  <c r="G23" i="34"/>
  <c r="H23" i="34"/>
  <c r="I23" i="34"/>
  <c r="C24" i="34"/>
  <c r="D24" i="34"/>
  <c r="E24" i="34"/>
  <c r="G24" i="34"/>
  <c r="H24" i="34"/>
  <c r="I24" i="34"/>
  <c r="C36" i="34"/>
  <c r="E36" i="34" s="1"/>
  <c r="D36" i="34"/>
  <c r="G36" i="34"/>
  <c r="H36" i="34"/>
  <c r="I36" i="34"/>
  <c r="C37" i="34"/>
  <c r="E37" i="34" s="1"/>
  <c r="D37" i="34"/>
  <c r="C38" i="34"/>
  <c r="E38" i="34" s="1"/>
  <c r="D38" i="34"/>
  <c r="G38" i="34"/>
  <c r="H38" i="34"/>
  <c r="I38" i="34"/>
  <c r="I43" i="34"/>
  <c r="I45" i="34"/>
  <c r="I46" i="34"/>
  <c r="I47" i="34"/>
  <c r="I48" i="34"/>
  <c r="I49" i="34"/>
  <c r="I50" i="34"/>
  <c r="I51" i="34"/>
  <c r="I52" i="34"/>
  <c r="I53" i="34"/>
  <c r="I54" i="34"/>
  <c r="I55" i="34"/>
  <c r="I56" i="34"/>
  <c r="I57" i="34"/>
  <c r="I58" i="34"/>
  <c r="I59" i="34"/>
  <c r="I60" i="34"/>
  <c r="I61" i="34"/>
  <c r="I62" i="34"/>
  <c r="I63" i="34"/>
  <c r="I64" i="34"/>
  <c r="I65" i="34"/>
  <c r="I68" i="34"/>
  <c r="I69" i="34"/>
  <c r="I70" i="34"/>
  <c r="I71" i="34"/>
  <c r="I72" i="34"/>
  <c r="I73" i="34"/>
  <c r="I74" i="34"/>
  <c r="I75" i="34"/>
  <c r="I76" i="34"/>
  <c r="I77" i="34"/>
  <c r="I78" i="34"/>
  <c r="I79" i="34"/>
  <c r="I80" i="34"/>
  <c r="C83" i="34"/>
  <c r="E83" i="34" s="1"/>
  <c r="D83" i="34"/>
  <c r="C84" i="34"/>
  <c r="D84" i="34"/>
  <c r="E84" i="34"/>
  <c r="G84" i="34"/>
  <c r="H84" i="34"/>
  <c r="I84" i="34"/>
  <c r="E85" i="34"/>
  <c r="C87" i="34"/>
  <c r="E87" i="34" s="1"/>
  <c r="D87" i="34"/>
  <c r="G87" i="34"/>
  <c r="H87" i="34"/>
  <c r="H88" i="34" s="1"/>
  <c r="H91" i="34" s="1"/>
  <c r="I87" i="34"/>
  <c r="I88" i="34"/>
  <c r="I87" i="33"/>
  <c r="H87" i="33"/>
  <c r="G87" i="33"/>
  <c r="D87" i="33"/>
  <c r="C87" i="33"/>
  <c r="E87" i="33" s="1"/>
  <c r="D86" i="33"/>
  <c r="C86" i="33"/>
  <c r="E86" i="33" s="1"/>
  <c r="D85" i="33"/>
  <c r="C85" i="33"/>
  <c r="I84" i="33"/>
  <c r="I88" i="33" s="1"/>
  <c r="H84" i="33"/>
  <c r="H88" i="33" s="1"/>
  <c r="H91" i="33" s="1"/>
  <c r="G84" i="33"/>
  <c r="G88" i="33" s="1"/>
  <c r="G91" i="33" s="1"/>
  <c r="D84" i="33"/>
  <c r="C84" i="33"/>
  <c r="D83" i="33"/>
  <c r="C83" i="33"/>
  <c r="I80" i="33"/>
  <c r="I79" i="33"/>
  <c r="I78" i="33"/>
  <c r="I77" i="33"/>
  <c r="I76" i="33"/>
  <c r="I75" i="33"/>
  <c r="I74" i="33"/>
  <c r="I73" i="33"/>
  <c r="I72" i="33"/>
  <c r="I71" i="33"/>
  <c r="I70" i="33"/>
  <c r="I69" i="33"/>
  <c r="I68" i="33"/>
  <c r="I65" i="33"/>
  <c r="I64" i="33"/>
  <c r="I63" i="33"/>
  <c r="I62" i="33"/>
  <c r="I61" i="33"/>
  <c r="I60" i="33"/>
  <c r="I59" i="33"/>
  <c r="I58" i="33"/>
  <c r="I57" i="33"/>
  <c r="I56" i="33"/>
  <c r="I55" i="33"/>
  <c r="I54" i="33"/>
  <c r="I53" i="33"/>
  <c r="I52" i="33"/>
  <c r="I51" i="33"/>
  <c r="I50" i="33"/>
  <c r="I49" i="33"/>
  <c r="I48" i="33"/>
  <c r="I47" i="33"/>
  <c r="I46" i="33"/>
  <c r="I44" i="33"/>
  <c r="I39" i="33"/>
  <c r="H39" i="33"/>
  <c r="G39" i="33"/>
  <c r="D39" i="33"/>
  <c r="C39" i="33"/>
  <c r="E39" i="33" s="1"/>
  <c r="D38" i="33"/>
  <c r="C38" i="33"/>
  <c r="I37" i="33"/>
  <c r="H37" i="33"/>
  <c r="G37" i="33"/>
  <c r="D37" i="33"/>
  <c r="C37" i="33"/>
  <c r="E37" i="33" s="1"/>
  <c r="I25" i="33"/>
  <c r="H25" i="33"/>
  <c r="G25" i="33"/>
  <c r="D25" i="33"/>
  <c r="C25" i="33"/>
  <c r="E25" i="33" s="1"/>
  <c r="I24" i="33"/>
  <c r="H24" i="33"/>
  <c r="G24" i="33"/>
  <c r="E24" i="33"/>
  <c r="G23" i="33"/>
  <c r="E23" i="33"/>
  <c r="G22" i="33"/>
  <c r="I21" i="33"/>
  <c r="H21" i="33"/>
  <c r="G21" i="33"/>
  <c r="D21" i="33"/>
  <c r="C21" i="33"/>
  <c r="E21" i="33" s="1"/>
  <c r="G20" i="33"/>
  <c r="I19" i="33"/>
  <c r="H19" i="33"/>
  <c r="G19" i="33"/>
  <c r="D19" i="33"/>
  <c r="C19" i="33"/>
  <c r="I18" i="33"/>
  <c r="H18" i="33"/>
  <c r="G18" i="33"/>
  <c r="D18" i="33"/>
  <c r="C18" i="33"/>
  <c r="E18" i="33" s="1"/>
  <c r="I17" i="33"/>
  <c r="H17" i="33"/>
  <c r="G17" i="33"/>
  <c r="C17" i="33"/>
  <c r="E17" i="33" s="1"/>
  <c r="I87" i="32"/>
  <c r="H87" i="32"/>
  <c r="G87" i="32"/>
  <c r="D87" i="32"/>
  <c r="C87" i="32"/>
  <c r="E87" i="32" s="1"/>
  <c r="H86" i="32"/>
  <c r="G86" i="32"/>
  <c r="D86" i="32"/>
  <c r="C86" i="32"/>
  <c r="E86" i="32" s="1"/>
  <c r="H85" i="32"/>
  <c r="G85" i="32"/>
  <c r="D85" i="32"/>
  <c r="C85" i="32"/>
  <c r="E85" i="32" s="1"/>
  <c r="I84" i="32"/>
  <c r="H84" i="32"/>
  <c r="G84" i="32"/>
  <c r="D84" i="32"/>
  <c r="C84" i="32"/>
  <c r="D83" i="32"/>
  <c r="C83" i="32"/>
  <c r="I82" i="32"/>
  <c r="H82" i="32"/>
  <c r="G82" i="32"/>
  <c r="G88" i="32" s="1"/>
  <c r="I80" i="32"/>
  <c r="I79" i="32"/>
  <c r="I78" i="32"/>
  <c r="I77" i="32"/>
  <c r="I76" i="32"/>
  <c r="I75" i="32"/>
  <c r="I74" i="32"/>
  <c r="I73" i="32"/>
  <c r="I72" i="32"/>
  <c r="I85" i="32" s="1"/>
  <c r="I71" i="32"/>
  <c r="I70" i="32"/>
  <c r="I69" i="32"/>
  <c r="I68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4" i="32"/>
  <c r="I39" i="32"/>
  <c r="H39" i="32"/>
  <c r="G39" i="32"/>
  <c r="D39" i="32"/>
  <c r="C39" i="32"/>
  <c r="D38" i="32"/>
  <c r="C38" i="32"/>
  <c r="I37" i="32"/>
  <c r="H37" i="32"/>
  <c r="G37" i="32"/>
  <c r="D37" i="32"/>
  <c r="C37" i="32"/>
  <c r="E37" i="32" s="1"/>
  <c r="I25" i="32"/>
  <c r="H25" i="32"/>
  <c r="G25" i="32"/>
  <c r="D25" i="32"/>
  <c r="C25" i="32"/>
  <c r="I24" i="32"/>
  <c r="H24" i="32"/>
  <c r="G24" i="32"/>
  <c r="E24" i="32"/>
  <c r="G23" i="32"/>
  <c r="E23" i="32"/>
  <c r="G22" i="32"/>
  <c r="I21" i="32"/>
  <c r="H21" i="32"/>
  <c r="G21" i="32"/>
  <c r="D21" i="32"/>
  <c r="C21" i="32"/>
  <c r="G20" i="32"/>
  <c r="I19" i="32"/>
  <c r="H19" i="32"/>
  <c r="G19" i="32"/>
  <c r="D19" i="32"/>
  <c r="C19" i="32"/>
  <c r="E19" i="32" s="1"/>
  <c r="I18" i="32"/>
  <c r="H18" i="32"/>
  <c r="G18" i="32"/>
  <c r="D18" i="32"/>
  <c r="C18" i="32"/>
  <c r="E18" i="32" s="1"/>
  <c r="I17" i="32"/>
  <c r="H17" i="32"/>
  <c r="G17" i="32"/>
  <c r="C17" i="32"/>
  <c r="E17" i="32" s="1"/>
  <c r="I87" i="31"/>
  <c r="H87" i="31"/>
  <c r="G87" i="31"/>
  <c r="D87" i="31"/>
  <c r="C87" i="31"/>
  <c r="E87" i="31" s="1"/>
  <c r="H86" i="31"/>
  <c r="G86" i="31"/>
  <c r="D86" i="31"/>
  <c r="C86" i="31"/>
  <c r="H85" i="31"/>
  <c r="G85" i="31"/>
  <c r="D85" i="31"/>
  <c r="C85" i="31"/>
  <c r="E85" i="31" s="1"/>
  <c r="I84" i="31"/>
  <c r="H84" i="31"/>
  <c r="G84" i="31"/>
  <c r="D84" i="31"/>
  <c r="C84" i="31"/>
  <c r="D83" i="31"/>
  <c r="C83" i="31"/>
  <c r="H82" i="31"/>
  <c r="G82" i="31"/>
  <c r="I80" i="31"/>
  <c r="I79" i="31"/>
  <c r="I78" i="31"/>
  <c r="I77" i="31"/>
  <c r="I76" i="31"/>
  <c r="I75" i="31"/>
  <c r="I74" i="31"/>
  <c r="I73" i="31"/>
  <c r="I72" i="31"/>
  <c r="I85" i="31" s="1"/>
  <c r="I71" i="31"/>
  <c r="I70" i="31"/>
  <c r="I69" i="31"/>
  <c r="I68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4" i="31"/>
  <c r="I39" i="31"/>
  <c r="H39" i="31"/>
  <c r="G39" i="31"/>
  <c r="D39" i="31"/>
  <c r="C39" i="31"/>
  <c r="D38" i="31"/>
  <c r="C38" i="31"/>
  <c r="I37" i="31"/>
  <c r="H37" i="31"/>
  <c r="G37" i="31"/>
  <c r="D37" i="31"/>
  <c r="C37" i="31"/>
  <c r="I25" i="31"/>
  <c r="H25" i="31"/>
  <c r="G25" i="31"/>
  <c r="D25" i="31"/>
  <c r="C25" i="31"/>
  <c r="I24" i="31"/>
  <c r="H24" i="31"/>
  <c r="G24" i="31"/>
  <c r="E24" i="31"/>
  <c r="I23" i="31"/>
  <c r="H23" i="31"/>
  <c r="G23" i="31"/>
  <c r="E23" i="31"/>
  <c r="I22" i="31"/>
  <c r="H22" i="31"/>
  <c r="G22" i="31"/>
  <c r="I21" i="31"/>
  <c r="H21" i="31"/>
  <c r="G21" i="31"/>
  <c r="D21" i="31"/>
  <c r="C21" i="31"/>
  <c r="I20" i="31"/>
  <c r="H20" i="31"/>
  <c r="G20" i="31"/>
  <c r="I19" i="31"/>
  <c r="H19" i="31"/>
  <c r="G19" i="31"/>
  <c r="D19" i="31"/>
  <c r="C19" i="31"/>
  <c r="I18" i="31"/>
  <c r="H18" i="31"/>
  <c r="G18" i="31"/>
  <c r="D18" i="31"/>
  <c r="C18" i="31"/>
  <c r="E18" i="31" s="1"/>
  <c r="I17" i="31"/>
  <c r="H17" i="31"/>
  <c r="G17" i="31"/>
  <c r="C17" i="31"/>
  <c r="E17" i="31" s="1"/>
  <c r="I87" i="30"/>
  <c r="H87" i="30"/>
  <c r="G87" i="30"/>
  <c r="D87" i="30"/>
  <c r="C87" i="30"/>
  <c r="H86" i="30"/>
  <c r="G86" i="30"/>
  <c r="D86" i="30"/>
  <c r="C86" i="30"/>
  <c r="E86" i="30" s="1"/>
  <c r="H85" i="30"/>
  <c r="G85" i="30"/>
  <c r="D85" i="30"/>
  <c r="C85" i="30"/>
  <c r="I84" i="30"/>
  <c r="H84" i="30"/>
  <c r="G84" i="30"/>
  <c r="D84" i="30"/>
  <c r="C84" i="30"/>
  <c r="I83" i="30"/>
  <c r="H83" i="30"/>
  <c r="G83" i="30"/>
  <c r="D83" i="30"/>
  <c r="E83" i="30" s="1"/>
  <c r="C83" i="30"/>
  <c r="H82" i="30"/>
  <c r="G82" i="30"/>
  <c r="I80" i="30"/>
  <c r="I79" i="30"/>
  <c r="I78" i="30"/>
  <c r="I77" i="30"/>
  <c r="I86" i="30" s="1"/>
  <c r="I76" i="30"/>
  <c r="I75" i="30"/>
  <c r="I74" i="30"/>
  <c r="I73" i="30"/>
  <c r="I72" i="30"/>
  <c r="I71" i="30"/>
  <c r="I70" i="30"/>
  <c r="I69" i="30"/>
  <c r="I68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4" i="30"/>
  <c r="D39" i="30"/>
  <c r="C39" i="30"/>
  <c r="D38" i="30"/>
  <c r="C38" i="30"/>
  <c r="I37" i="30"/>
  <c r="H37" i="30"/>
  <c r="G37" i="30"/>
  <c r="D37" i="30"/>
  <c r="C37" i="30"/>
  <c r="I25" i="30"/>
  <c r="H25" i="30"/>
  <c r="G25" i="30"/>
  <c r="D25" i="30"/>
  <c r="C25" i="30"/>
  <c r="I24" i="30"/>
  <c r="H24" i="30"/>
  <c r="G24" i="30"/>
  <c r="E24" i="30"/>
  <c r="I23" i="30"/>
  <c r="H23" i="30"/>
  <c r="G23" i="30"/>
  <c r="E23" i="30"/>
  <c r="I22" i="30"/>
  <c r="H22" i="30"/>
  <c r="G22" i="30"/>
  <c r="I21" i="30"/>
  <c r="H21" i="30"/>
  <c r="G21" i="30"/>
  <c r="D21" i="30"/>
  <c r="C21" i="30"/>
  <c r="I20" i="30"/>
  <c r="H20" i="30"/>
  <c r="G20" i="30"/>
  <c r="I19" i="30"/>
  <c r="H19" i="30"/>
  <c r="G19" i="30"/>
  <c r="D19" i="30"/>
  <c r="C19" i="30"/>
  <c r="I18" i="30"/>
  <c r="H18" i="30"/>
  <c r="G18" i="30"/>
  <c r="D18" i="30"/>
  <c r="E18" i="30" s="1"/>
  <c r="C18" i="30"/>
  <c r="I17" i="30"/>
  <c r="H17" i="30"/>
  <c r="G17" i="30"/>
  <c r="C17" i="30"/>
  <c r="E17" i="30" s="1"/>
  <c r="E38" i="37" l="1"/>
  <c r="D88" i="37"/>
  <c r="E20" i="37"/>
  <c r="E87" i="37"/>
  <c r="E88" i="37" s="1"/>
  <c r="E36" i="37"/>
  <c r="C88" i="37"/>
  <c r="H88" i="35"/>
  <c r="H91" i="35" s="1"/>
  <c r="E33" i="36"/>
  <c r="E80" i="36"/>
  <c r="E85" i="36" s="1"/>
  <c r="E84" i="36"/>
  <c r="E21" i="36"/>
  <c r="E34" i="36"/>
  <c r="C85" i="36"/>
  <c r="E85" i="30"/>
  <c r="E87" i="30"/>
  <c r="E19" i="30"/>
  <c r="E21" i="30"/>
  <c r="E25" i="30"/>
  <c r="E38" i="30"/>
  <c r="I85" i="30"/>
  <c r="G88" i="30"/>
  <c r="E84" i="30"/>
  <c r="E88" i="30" s="1"/>
  <c r="I82" i="30"/>
  <c r="I88" i="30" s="1"/>
  <c r="C88" i="30"/>
  <c r="E37" i="30"/>
  <c r="E39" i="30"/>
  <c r="D88" i="30"/>
  <c r="H88" i="30"/>
  <c r="E39" i="31"/>
  <c r="E21" i="31"/>
  <c r="I82" i="31"/>
  <c r="C88" i="31"/>
  <c r="E25" i="31"/>
  <c r="E38" i="31"/>
  <c r="G88" i="31"/>
  <c r="H88" i="31"/>
  <c r="E37" i="31"/>
  <c r="E19" i="31"/>
  <c r="I86" i="31"/>
  <c r="I88" i="31" s="1"/>
  <c r="D88" i="31"/>
  <c r="E84" i="31"/>
  <c r="E86" i="31"/>
  <c r="C88" i="32"/>
  <c r="I86" i="32"/>
  <c r="I88" i="32" s="1"/>
  <c r="D88" i="32"/>
  <c r="E25" i="32"/>
  <c r="E84" i="32"/>
  <c r="E38" i="32"/>
  <c r="H88" i="32"/>
  <c r="E21" i="32"/>
  <c r="E39" i="32"/>
  <c r="E20" i="35"/>
  <c r="D88" i="35"/>
  <c r="E18" i="35"/>
  <c r="E84" i="35"/>
  <c r="E88" i="35" s="1"/>
  <c r="C88" i="35"/>
  <c r="G88" i="34"/>
  <c r="G91" i="34" s="1"/>
  <c r="D88" i="34"/>
  <c r="E88" i="34"/>
  <c r="C88" i="34"/>
  <c r="E38" i="33"/>
  <c r="C88" i="33"/>
  <c r="E85" i="33"/>
  <c r="D88" i="33"/>
  <c r="E19" i="33"/>
  <c r="E84" i="33"/>
  <c r="E83" i="33"/>
  <c r="E88" i="33" s="1"/>
  <c r="E83" i="32"/>
  <c r="E88" i="32" s="1"/>
  <c r="E83" i="31"/>
  <c r="E88" i="31" l="1"/>
  <c r="I87" i="29"/>
  <c r="H87" i="29"/>
  <c r="G87" i="29"/>
  <c r="D87" i="29"/>
  <c r="C87" i="29"/>
  <c r="E87" i="29" s="1"/>
  <c r="H86" i="29"/>
  <c r="G86" i="29"/>
  <c r="D86" i="29"/>
  <c r="C86" i="29"/>
  <c r="E86" i="29" s="1"/>
  <c r="H85" i="29"/>
  <c r="G85" i="29"/>
  <c r="D85" i="29"/>
  <c r="C85" i="29"/>
  <c r="E85" i="29" s="1"/>
  <c r="I84" i="29"/>
  <c r="H84" i="29"/>
  <c r="G84" i="29"/>
  <c r="D84" i="29"/>
  <c r="C84" i="29"/>
  <c r="I83" i="29"/>
  <c r="H83" i="29"/>
  <c r="G83" i="29"/>
  <c r="D83" i="29"/>
  <c r="C83" i="29"/>
  <c r="H82" i="29"/>
  <c r="G82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4" i="29"/>
  <c r="D39" i="29"/>
  <c r="C39" i="29"/>
  <c r="D38" i="29"/>
  <c r="C38" i="29"/>
  <c r="I37" i="29"/>
  <c r="H37" i="29"/>
  <c r="G37" i="29"/>
  <c r="D37" i="29"/>
  <c r="C37" i="29"/>
  <c r="E37" i="29" s="1"/>
  <c r="I25" i="29"/>
  <c r="H25" i="29"/>
  <c r="G25" i="29"/>
  <c r="D25" i="29"/>
  <c r="C25" i="29"/>
  <c r="I24" i="29"/>
  <c r="H24" i="29"/>
  <c r="G24" i="29"/>
  <c r="E24" i="29"/>
  <c r="I23" i="29"/>
  <c r="H23" i="29"/>
  <c r="G23" i="29"/>
  <c r="E23" i="29"/>
  <c r="I22" i="29"/>
  <c r="H22" i="29"/>
  <c r="G22" i="29"/>
  <c r="I21" i="29"/>
  <c r="H21" i="29"/>
  <c r="G21" i="29"/>
  <c r="D21" i="29"/>
  <c r="C21" i="29"/>
  <c r="I20" i="29"/>
  <c r="H20" i="29"/>
  <c r="G20" i="29"/>
  <c r="I19" i="29"/>
  <c r="H19" i="29"/>
  <c r="G19" i="29"/>
  <c r="D19" i="29"/>
  <c r="C19" i="29"/>
  <c r="I18" i="29"/>
  <c r="H18" i="29"/>
  <c r="G18" i="29"/>
  <c r="D18" i="29"/>
  <c r="C18" i="29"/>
  <c r="I17" i="29"/>
  <c r="H17" i="29"/>
  <c r="G17" i="29"/>
  <c r="C17" i="29"/>
  <c r="E17" i="29" s="1"/>
  <c r="I85" i="28"/>
  <c r="H85" i="28"/>
  <c r="G85" i="28"/>
  <c r="E85" i="28"/>
  <c r="D85" i="28"/>
  <c r="C85" i="28"/>
  <c r="H84" i="28"/>
  <c r="G84" i="28"/>
  <c r="D84" i="28"/>
  <c r="C84" i="28"/>
  <c r="E84" i="28" s="1"/>
  <c r="H83" i="28"/>
  <c r="G83" i="28"/>
  <c r="D83" i="28"/>
  <c r="C83" i="28"/>
  <c r="I82" i="28"/>
  <c r="H82" i="28"/>
  <c r="G82" i="28"/>
  <c r="D82" i="28"/>
  <c r="C82" i="28"/>
  <c r="I81" i="28"/>
  <c r="H81" i="28"/>
  <c r="G81" i="28"/>
  <c r="D81" i="28"/>
  <c r="C81" i="28"/>
  <c r="E81" i="28" s="1"/>
  <c r="H80" i="28"/>
  <c r="G80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39" i="28"/>
  <c r="H39" i="28"/>
  <c r="G39" i="28"/>
  <c r="D39" i="28"/>
  <c r="C39" i="28"/>
  <c r="E39" i="28" s="1"/>
  <c r="D38" i="28"/>
  <c r="C38" i="28"/>
  <c r="I37" i="28"/>
  <c r="H37" i="28"/>
  <c r="G37" i="28"/>
  <c r="D37" i="28"/>
  <c r="C37" i="28"/>
  <c r="I25" i="28"/>
  <c r="H25" i="28"/>
  <c r="G25" i="28"/>
  <c r="D25" i="28"/>
  <c r="C25" i="28"/>
  <c r="E25" i="28" s="1"/>
  <c r="I24" i="28"/>
  <c r="H24" i="28"/>
  <c r="G24" i="28"/>
  <c r="D24" i="28"/>
  <c r="C24" i="28"/>
  <c r="I23" i="28"/>
  <c r="H23" i="28"/>
  <c r="G23" i="28"/>
  <c r="D23" i="28"/>
  <c r="C23" i="28"/>
  <c r="E23" i="28" s="1"/>
  <c r="I22" i="28"/>
  <c r="H22" i="28"/>
  <c r="G22" i="28"/>
  <c r="D22" i="28"/>
  <c r="E22" i="28" s="1"/>
  <c r="C22" i="28"/>
  <c r="I21" i="28"/>
  <c r="H21" i="28"/>
  <c r="G21" i="28"/>
  <c r="D21" i="28"/>
  <c r="C21" i="28"/>
  <c r="I20" i="28"/>
  <c r="H20" i="28"/>
  <c r="G20" i="28"/>
  <c r="D20" i="28"/>
  <c r="C20" i="28"/>
  <c r="I19" i="28"/>
  <c r="H19" i="28"/>
  <c r="G19" i="28"/>
  <c r="D19" i="28"/>
  <c r="C19" i="28"/>
  <c r="I18" i="28"/>
  <c r="H18" i="28"/>
  <c r="G18" i="28"/>
  <c r="D18" i="28"/>
  <c r="C18" i="28"/>
  <c r="I17" i="28"/>
  <c r="H17" i="28"/>
  <c r="G17" i="28"/>
  <c r="D17" i="28"/>
  <c r="C17" i="28"/>
  <c r="E17" i="28" s="1"/>
  <c r="E24" i="28" l="1"/>
  <c r="I83" i="28"/>
  <c r="E82" i="28"/>
  <c r="E21" i="28"/>
  <c r="E18" i="28"/>
  <c r="E20" i="28"/>
  <c r="I80" i="28"/>
  <c r="E37" i="28"/>
  <c r="H86" i="28"/>
  <c r="G86" i="28"/>
  <c r="I84" i="28"/>
  <c r="E83" i="28"/>
  <c r="E19" i="28"/>
  <c r="E38" i="28"/>
  <c r="E83" i="29"/>
  <c r="E88" i="29" s="1"/>
  <c r="E18" i="29"/>
  <c r="E19" i="29"/>
  <c r="E21" i="29"/>
  <c r="E25" i="29"/>
  <c r="E38" i="29"/>
  <c r="E39" i="29"/>
  <c r="I86" i="29"/>
  <c r="I85" i="29"/>
  <c r="G88" i="29"/>
  <c r="E84" i="29"/>
  <c r="I82" i="29"/>
  <c r="C88" i="29"/>
  <c r="D88" i="29"/>
  <c r="H88" i="29"/>
  <c r="I86" i="28" l="1"/>
  <c r="I88" i="29"/>
  <c r="G15" i="35" l="1"/>
  <c r="I36" i="30"/>
  <c r="H38" i="30"/>
  <c r="H30" i="30"/>
  <c r="H91" i="30"/>
  <c r="I26" i="30"/>
  <c r="H11" i="36"/>
  <c r="G35" i="35"/>
  <c r="G34" i="37"/>
  <c r="E25" i="37"/>
  <c r="E14" i="37"/>
  <c r="C14" i="37"/>
  <c r="D14" i="37"/>
  <c r="C89" i="28"/>
  <c r="C26" i="28"/>
  <c r="E91" i="30"/>
  <c r="E26" i="30"/>
  <c r="E15" i="30"/>
  <c r="C15" i="30"/>
  <c r="D15" i="30"/>
  <c r="E40" i="31"/>
  <c r="E36" i="31"/>
  <c r="E22" i="36"/>
  <c r="E11" i="36"/>
  <c r="C11" i="36"/>
  <c r="D11" i="36"/>
  <c r="E39" i="35"/>
  <c r="E35" i="35"/>
  <c r="H91" i="29"/>
  <c r="I26" i="29"/>
  <c r="H91" i="31"/>
  <c r="I26" i="31"/>
  <c r="E35" i="38"/>
  <c r="C35" i="38"/>
  <c r="D35" i="38"/>
  <c r="H31" i="36"/>
  <c r="I35" i="33"/>
  <c r="I38" i="29"/>
  <c r="I30" i="29"/>
  <c r="H89" i="28"/>
  <c r="I26" i="28"/>
  <c r="G16" i="32"/>
  <c r="D15" i="34"/>
  <c r="E15" i="34"/>
  <c r="I35" i="38"/>
  <c r="E86" i="28"/>
  <c r="E80" i="28"/>
  <c r="H35" i="34"/>
  <c r="I35" i="35"/>
  <c r="C91" i="32"/>
  <c r="C40" i="32"/>
  <c r="I36" i="39"/>
  <c r="I31" i="36"/>
  <c r="I14" i="35"/>
  <c r="E35" i="29"/>
  <c r="C35" i="29"/>
  <c r="D35" i="29"/>
  <c r="I38" i="30"/>
  <c r="I30" i="30"/>
  <c r="H38" i="28"/>
  <c r="H33" i="28"/>
  <c r="H32" i="36"/>
  <c r="G22" i="36"/>
  <c r="G11" i="36"/>
  <c r="G26" i="36"/>
  <c r="H15" i="39"/>
  <c r="E40" i="38"/>
  <c r="E36" i="38"/>
  <c r="I14" i="34"/>
  <c r="G35" i="38"/>
  <c r="H14" i="35"/>
  <c r="I38" i="28"/>
  <c r="I33" i="28"/>
  <c r="I16" i="28"/>
  <c r="E91" i="32"/>
  <c r="E26" i="32"/>
  <c r="E15" i="32"/>
  <c r="C15" i="32"/>
  <c r="D15" i="32"/>
  <c r="G16" i="33"/>
  <c r="H36" i="39"/>
  <c r="G16" i="31"/>
  <c r="C40" i="28"/>
  <c r="G91" i="29"/>
  <c r="H26" i="29"/>
  <c r="D91" i="32"/>
  <c r="D40" i="32"/>
  <c r="D91" i="33"/>
  <c r="D40" i="33"/>
  <c r="H34" i="37"/>
  <c r="I15" i="33"/>
  <c r="E39" i="34"/>
  <c r="E35" i="34"/>
  <c r="I14" i="37"/>
  <c r="D16" i="32"/>
  <c r="E16" i="32"/>
  <c r="I91" i="31"/>
  <c r="I40" i="31"/>
  <c r="I35" i="31"/>
  <c r="C36" i="28"/>
  <c r="E36" i="28"/>
  <c r="E40" i="28"/>
  <c r="G35" i="33"/>
  <c r="G38" i="29"/>
  <c r="G30" i="29"/>
  <c r="E15" i="38"/>
  <c r="C15" i="38"/>
  <c r="D15" i="38"/>
  <c r="C80" i="28"/>
  <c r="C86" i="28"/>
  <c r="D39" i="35"/>
  <c r="I36" i="29"/>
  <c r="E34" i="37"/>
  <c r="C34" i="37"/>
  <c r="D34" i="37"/>
  <c r="G36" i="33"/>
  <c r="E35" i="39"/>
  <c r="C35" i="39"/>
  <c r="D35" i="39"/>
  <c r="J13" i="31"/>
  <c r="J8" i="31"/>
  <c r="J10" i="31"/>
  <c r="J12" i="31"/>
  <c r="I30" i="31"/>
  <c r="J11" i="31"/>
  <c r="I15" i="31"/>
  <c r="J9" i="31"/>
  <c r="H14" i="37"/>
  <c r="C39" i="37"/>
  <c r="D35" i="31"/>
  <c r="C35" i="31"/>
  <c r="E35" i="31"/>
  <c r="I35" i="37"/>
  <c r="H35" i="38"/>
  <c r="G36" i="31"/>
  <c r="G32" i="36"/>
  <c r="D40" i="31"/>
  <c r="D91" i="31"/>
  <c r="G29" i="34"/>
  <c r="G14" i="34"/>
  <c r="G25" i="34"/>
  <c r="H36" i="32"/>
  <c r="I35" i="29"/>
  <c r="I40" i="29"/>
  <c r="I91" i="29"/>
  <c r="D39" i="37"/>
  <c r="D15" i="31"/>
  <c r="C15" i="31"/>
  <c r="E15" i="31"/>
  <c r="E26" i="31"/>
  <c r="E91" i="31"/>
  <c r="G29" i="35"/>
  <c r="G14" i="35"/>
  <c r="G25" i="35"/>
  <c r="D35" i="37"/>
  <c r="C35" i="37"/>
  <c r="E35" i="37"/>
  <c r="E39" i="37"/>
  <c r="I11" i="36"/>
  <c r="D35" i="35"/>
  <c r="C35" i="35"/>
  <c r="C39" i="35"/>
  <c r="D16" i="33"/>
  <c r="E16" i="33"/>
  <c r="D91" i="29"/>
  <c r="D40" i="29"/>
  <c r="G36" i="32"/>
  <c r="G15" i="37"/>
  <c r="I34" i="34"/>
  <c r="E35" i="28"/>
  <c r="C35" i="28"/>
  <c r="D35" i="28"/>
  <c r="H35" i="28"/>
  <c r="H40" i="28"/>
  <c r="E16" i="39"/>
  <c r="D16" i="39"/>
  <c r="G36" i="38"/>
  <c r="G34" i="35"/>
  <c r="D36" i="28"/>
  <c r="D40" i="28"/>
  <c r="E31" i="36"/>
  <c r="C31" i="36"/>
  <c r="D31" i="36"/>
  <c r="H14" i="34"/>
  <c r="G35" i="34"/>
  <c r="H36" i="29"/>
  <c r="G16" i="29"/>
  <c r="E25" i="34"/>
  <c r="E14" i="34"/>
  <c r="C14" i="34"/>
  <c r="D14" i="34"/>
  <c r="H36" i="28"/>
  <c r="H35" i="33"/>
  <c r="E16" i="28"/>
  <c r="C16" i="28"/>
  <c r="D16" i="28"/>
  <c r="I35" i="39"/>
  <c r="G16" i="30"/>
  <c r="G12" i="36"/>
  <c r="G31" i="28"/>
  <c r="G26" i="28"/>
  <c r="G30" i="28"/>
  <c r="G32" i="28"/>
  <c r="H40" i="32"/>
  <c r="H35" i="32"/>
  <c r="G40" i="29"/>
  <c r="G35" i="29"/>
  <c r="I16" i="32"/>
  <c r="H16" i="32"/>
  <c r="C91" i="33"/>
  <c r="C40" i="33"/>
  <c r="G14" i="37"/>
  <c r="G25" i="37"/>
  <c r="G35" i="28"/>
  <c r="G40" i="28"/>
  <c r="I32" i="36"/>
  <c r="G15" i="38"/>
  <c r="G26" i="38"/>
  <c r="H35" i="35"/>
  <c r="D12" i="36"/>
  <c r="E12" i="36"/>
  <c r="D39" i="34"/>
  <c r="I36" i="32"/>
  <c r="I35" i="32"/>
  <c r="I40" i="32"/>
  <c r="I91" i="32"/>
  <c r="H35" i="37"/>
  <c r="G36" i="29"/>
  <c r="H35" i="30"/>
  <c r="H40" i="30"/>
  <c r="H36" i="38"/>
  <c r="I34" i="35"/>
  <c r="G30" i="33"/>
  <c r="G15" i="33"/>
  <c r="G26" i="33"/>
  <c r="I32" i="28"/>
  <c r="I30" i="28"/>
  <c r="I15" i="28"/>
  <c r="I31" i="28"/>
  <c r="G15" i="28"/>
  <c r="G33" i="28"/>
  <c r="G38" i="28"/>
  <c r="I15" i="38"/>
  <c r="C91" i="29"/>
  <c r="C40" i="29"/>
  <c r="G26" i="31"/>
  <c r="G15" i="31"/>
  <c r="G30" i="31"/>
  <c r="I31" i="29"/>
  <c r="I32" i="29"/>
  <c r="D16" i="31"/>
  <c r="E16" i="31"/>
  <c r="H35" i="29"/>
  <c r="H40" i="29"/>
  <c r="C36" i="38"/>
  <c r="C40" i="38"/>
  <c r="H31" i="28"/>
  <c r="H30" i="28"/>
  <c r="H32" i="28"/>
  <c r="D15" i="29"/>
  <c r="C15" i="29"/>
  <c r="E15" i="29"/>
  <c r="E26" i="29"/>
  <c r="E91" i="29"/>
  <c r="D34" i="34"/>
  <c r="C34" i="34"/>
  <c r="E34" i="34"/>
  <c r="H15" i="32"/>
  <c r="H26" i="32"/>
  <c r="G91" i="32"/>
  <c r="H15" i="33"/>
  <c r="G36" i="30"/>
  <c r="E35" i="33"/>
  <c r="C35" i="33"/>
  <c r="D35" i="33"/>
  <c r="I31" i="30"/>
  <c r="I32" i="30"/>
  <c r="G91" i="30"/>
  <c r="H26" i="30"/>
  <c r="H36" i="33"/>
  <c r="E34" i="35"/>
  <c r="C34" i="35"/>
  <c r="D34" i="35"/>
  <c r="H34" i="34"/>
  <c r="I36" i="31"/>
  <c r="G32" i="30"/>
  <c r="G31" i="30"/>
  <c r="G26" i="30"/>
  <c r="H36" i="31"/>
  <c r="C91" i="30"/>
  <c r="C40" i="30"/>
  <c r="E36" i="36"/>
  <c r="E32" i="36"/>
  <c r="D14" i="35"/>
  <c r="C14" i="35"/>
  <c r="E14" i="35"/>
  <c r="E25" i="35"/>
  <c r="D16" i="30"/>
  <c r="E16" i="30"/>
  <c r="G35" i="37"/>
  <c r="I36" i="38"/>
  <c r="I34" i="37"/>
  <c r="H15" i="38"/>
  <c r="I15" i="29"/>
  <c r="I33" i="29"/>
  <c r="I39" i="29"/>
  <c r="E16" i="38"/>
  <c r="D16" i="38"/>
  <c r="G30" i="30"/>
  <c r="G38" i="30"/>
  <c r="G15" i="34"/>
  <c r="D36" i="38"/>
  <c r="D40" i="38"/>
  <c r="H15" i="28"/>
  <c r="H26" i="28"/>
  <c r="G89" i="28"/>
  <c r="H32" i="30"/>
  <c r="H31" i="30"/>
  <c r="I15" i="30"/>
  <c r="I33" i="30"/>
  <c r="I39" i="30"/>
  <c r="I36" i="33"/>
  <c r="E15" i="37"/>
  <c r="D15" i="37"/>
  <c r="D40" i="39"/>
  <c r="H16" i="28"/>
  <c r="E40" i="32"/>
  <c r="D36" i="32"/>
  <c r="C36" i="32"/>
  <c r="E36" i="32"/>
  <c r="D35" i="30"/>
  <c r="C35" i="30"/>
  <c r="E35" i="30"/>
  <c r="G15" i="30"/>
  <c r="G33" i="30"/>
  <c r="G39" i="30"/>
  <c r="H36" i="30"/>
  <c r="G36" i="28"/>
  <c r="E15" i="39"/>
  <c r="C15" i="39"/>
  <c r="D15" i="39"/>
  <c r="C40" i="39"/>
  <c r="I36" i="28"/>
  <c r="G16" i="39"/>
  <c r="D80" i="28"/>
  <c r="D86" i="28"/>
  <c r="H91" i="32"/>
  <c r="I26" i="32"/>
  <c r="I15" i="32"/>
  <c r="G26" i="29"/>
  <c r="G31" i="29"/>
  <c r="G32" i="29"/>
  <c r="G91" i="31"/>
  <c r="H26" i="31"/>
  <c r="H15" i="30"/>
  <c r="H33" i="30"/>
  <c r="H39" i="30"/>
  <c r="C32" i="36"/>
  <c r="C36" i="36"/>
  <c r="D36" i="29"/>
  <c r="C36" i="29"/>
  <c r="E36" i="29"/>
  <c r="E40" i="29"/>
  <c r="E15" i="35"/>
  <c r="D15" i="35"/>
  <c r="H35" i="31"/>
  <c r="H40" i="31"/>
  <c r="G35" i="32"/>
  <c r="G40" i="32"/>
  <c r="D89" i="28"/>
  <c r="D26" i="28"/>
  <c r="E16" i="29"/>
  <c r="D16" i="29"/>
  <c r="D35" i="32"/>
  <c r="C35" i="32"/>
  <c r="E35" i="32"/>
  <c r="G36" i="39"/>
  <c r="H39" i="29"/>
  <c r="H33" i="29"/>
  <c r="I35" i="30"/>
  <c r="I40" i="30"/>
  <c r="I91" i="30"/>
  <c r="H34" i="35"/>
  <c r="I35" i="28"/>
  <c r="I40" i="28"/>
  <c r="I89" i="28"/>
  <c r="E91" i="33"/>
  <c r="D15" i="33"/>
  <c r="C15" i="33"/>
  <c r="E15" i="33"/>
  <c r="E26" i="33"/>
  <c r="D36" i="39"/>
  <c r="C36" i="39"/>
  <c r="E36" i="39"/>
  <c r="E40" i="39"/>
  <c r="C36" i="30"/>
  <c r="E36" i="30"/>
  <c r="E40" i="30"/>
  <c r="H35" i="39"/>
  <c r="G16" i="28"/>
  <c r="D36" i="31"/>
  <c r="C36" i="31"/>
  <c r="C40" i="31"/>
  <c r="C91" i="31"/>
  <c r="G15" i="29"/>
  <c r="G33" i="29"/>
  <c r="G39" i="29"/>
  <c r="H16" i="31"/>
  <c r="H30" i="31"/>
  <c r="H15" i="31"/>
  <c r="I16" i="31"/>
  <c r="G34" i="34"/>
  <c r="I35" i="34"/>
  <c r="D32" i="36"/>
  <c r="D36" i="36"/>
  <c r="G35" i="30"/>
  <c r="G40" i="30"/>
  <c r="H31" i="29"/>
  <c r="H32" i="29"/>
  <c r="G35" i="39"/>
  <c r="G30" i="32"/>
  <c r="G15" i="32"/>
  <c r="G26" i="32"/>
  <c r="G31" i="36"/>
  <c r="G16" i="38"/>
  <c r="H15" i="29"/>
  <c r="H30" i="29"/>
  <c r="H38" i="29"/>
  <c r="D36" i="33"/>
  <c r="C36" i="33"/>
  <c r="E36" i="33"/>
  <c r="E40" i="33"/>
  <c r="G35" i="31"/>
  <c r="G40" i="31"/>
  <c r="G26" i="39"/>
  <c r="G15" i="39"/>
  <c r="I15" i="39"/>
  <c r="D35" i="34"/>
  <c r="C35" i="34"/>
  <c r="C39" i="34"/>
  <c r="D15" i="28"/>
  <c r="C15" i="28"/>
  <c r="E15" i="28"/>
  <c r="E26" i="28"/>
  <c r="E89" i="28"/>
  <c r="D36" i="30"/>
  <c r="D40" i="30"/>
  <c r="D91" i="30"/>
</calcChain>
</file>

<file path=xl/sharedStrings.xml><?xml version="1.0" encoding="utf-8"?>
<sst xmlns="http://schemas.openxmlformats.org/spreadsheetml/2006/main" count="4757" uniqueCount="402">
  <si>
    <t>DAS-1</t>
  </si>
  <si>
    <t>FDA-4</t>
  </si>
  <si>
    <t>DAS-5</t>
  </si>
  <si>
    <t>FDA-3</t>
  </si>
  <si>
    <t>FGS-1</t>
  </si>
  <si>
    <t>FGS-2</t>
  </si>
  <si>
    <t>FGA-1</t>
  </si>
  <si>
    <t>FGA-2</t>
  </si>
  <si>
    <t>CAA-2</t>
  </si>
  <si>
    <t>CAA-3</t>
  </si>
  <si>
    <t>GUSTAVO LELIS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</si>
  <si>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</si>
  <si>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CARGOS COMISSIONADOS</t>
  </si>
  <si>
    <t>DESCRITIVO [3]</t>
  </si>
  <si>
    <t>SÍMBOLO [4]</t>
  </si>
  <si>
    <t>LOTAÇÃO [5]</t>
  </si>
  <si>
    <t>CATEGORIA [6]</t>
  </si>
  <si>
    <t>QTD. [7]</t>
  </si>
  <si>
    <t>SERVIDOR [8]</t>
  </si>
  <si>
    <t>AGP [9]</t>
  </si>
  <si>
    <t>VENCIMENTO [10]</t>
  </si>
  <si>
    <t>REPRESENTAÇÃO [11]</t>
  </si>
  <si>
    <t>DIRETOR PRESIDENTE</t>
  </si>
  <si>
    <t>PRESIDÊNCIA</t>
  </si>
  <si>
    <t>EST</t>
  </si>
  <si>
    <t>PAULO ROBERTO DE ANDRADE LIMA</t>
  </si>
  <si>
    <t>DIRETOR DE GESTÃO ADMINISTRATIVA E FINANCEIRA</t>
  </si>
  <si>
    <t>DGAF</t>
  </si>
  <si>
    <t>COM</t>
  </si>
  <si>
    <t>COORDENADOR DE TECNOLOGIA DA INFORMAÇÃO</t>
  </si>
  <si>
    <t>NUINF</t>
  </si>
  <si>
    <t>AUXILIAR TÉCNICO</t>
  </si>
  <si>
    <t>CAA-4</t>
  </si>
  <si>
    <t>LICITAÇÃO</t>
  </si>
  <si>
    <t>ASSESSOR DE PLANEJAMENTO</t>
  </si>
  <si>
    <t>DPEC</t>
  </si>
  <si>
    <t>ASSESSOR DE COMUNICAÇÃO</t>
  </si>
  <si>
    <t>COMUNICAÇÃO</t>
  </si>
  <si>
    <t>ASSESSOR TÉCNICO DE APOIO A PROCURADORIA GERAL DO ESTADO</t>
  </si>
  <si>
    <t>ASTPGE</t>
  </si>
  <si>
    <t>DESCRIÇÃO DOS CARGOS COMISSIONADOS [13]</t>
  </si>
  <si>
    <t>SIMBOLO [14]</t>
  </si>
  <si>
    <t>QTD. PREENCHIDOS [15]</t>
  </si>
  <si>
    <t>QTD. VAGO [16]</t>
  </si>
  <si>
    <t>TOTAL QTD. [17]</t>
  </si>
  <si>
    <t>TOTAL AGP [18]</t>
  </si>
  <si>
    <t>TOTAL VENCIMENTO [19]</t>
  </si>
  <si>
    <t>TOTAL REPRESENTAÇÃO [20]</t>
  </si>
  <si>
    <t>Cargo Comissionado de Direção e Assessoramento</t>
  </si>
  <si>
    <t>DAS</t>
  </si>
  <si>
    <t>Cargo Comissionado de Direção e Assessoramento - 1</t>
  </si>
  <si>
    <t>Cargo Comissionado de Direção e Assessoramento - 2</t>
  </si>
  <si>
    <t>DAS-2</t>
  </si>
  <si>
    <t>Cargo Comissionado de Direção e Assessoramento - 3</t>
  </si>
  <si>
    <t>DAS-3</t>
  </si>
  <si>
    <t>Cargo Comissionado de Direção e Assessoramento - 4</t>
  </si>
  <si>
    <t>DAS-4</t>
  </si>
  <si>
    <t>Cargo Comissionado de Direção e Assessoramento - 5</t>
  </si>
  <si>
    <t>Cargo de Assessoramento - 1</t>
  </si>
  <si>
    <t>CAA-1</t>
  </si>
  <si>
    <t>Cargo de Assessoramento - 2</t>
  </si>
  <si>
    <t>Cargo de Assessoramento - 3</t>
  </si>
  <si>
    <t>Cargo de Assessoramento - 4</t>
  </si>
  <si>
    <t>Cargo de Assessoramento - 5</t>
  </si>
  <si>
    <t>CAA-5</t>
  </si>
  <si>
    <t>TOTAL DOS CARGOS COMISSIONADOS E DAS SUAS REMUNERAÇÕES</t>
  </si>
  <si>
    <t>FUNÇÃO GRATIFICADA DE DIREÇÃO E ASSESSORAMENTO</t>
  </si>
  <si>
    <t>DESCRITIVO [22]</t>
  </si>
  <si>
    <t>SÍMBOLO [23]</t>
  </si>
  <si>
    <t>LOTAÇÃO [24]</t>
  </si>
  <si>
    <t>CATEGORIA [25]</t>
  </si>
  <si>
    <t>QTD. [26]</t>
  </si>
  <si>
    <t>SERVIDOR [27]</t>
  </si>
  <si>
    <t>VENCIMENTO [28]</t>
  </si>
  <si>
    <t>REPRESENTAÇÃO [29]</t>
  </si>
  <si>
    <t>MONTANTE [30]</t>
  </si>
  <si>
    <t>COORDENADOR ESTADUAL DE PRODUTOS DE ORIGEM ANIMAL E VEGETAL</t>
  </si>
  <si>
    <t>DIRETOR DE DEFESA DE INSPEÇÃO VEGETAL</t>
  </si>
  <si>
    <t>DDIV</t>
  </si>
  <si>
    <t>DIRETOR DE DEFESA DE INSPEÇÃO ANIMAL</t>
  </si>
  <si>
    <t>DDIA</t>
  </si>
  <si>
    <t>DIRETOR DE PLANEJAMENTO ESTRATÉGICO E CONVÊNIOS</t>
  </si>
  <si>
    <t>RELAÇÃO DAS FUNÇÕES GRATIFICADAS DE DIREÇÃO E ASSESSORAMENTO [31]</t>
  </si>
  <si>
    <t>SIMBOLO [32]</t>
  </si>
  <si>
    <t>QTD. PREENCHIDOS [33]</t>
  </si>
  <si>
    <t>QTD. VAGO [34]</t>
  </si>
  <si>
    <t>TOTAL QTD. [35]</t>
  </si>
  <si>
    <t>TOTAL VENCIMENTO [36]</t>
  </si>
  <si>
    <t>TOTAL REPRESENTAÇÃO [37]</t>
  </si>
  <si>
    <t>TOTAL MONTANTE [38]</t>
  </si>
  <si>
    <t>Função Gratificada de Direção e Assessoramento</t>
  </si>
  <si>
    <t>FDA</t>
  </si>
  <si>
    <t>Função Gratificada de Direção e Assessoramento - 1</t>
  </si>
  <si>
    <t>FDA-1</t>
  </si>
  <si>
    <t>Função Gratificada de Direção e Assessoramento - 2</t>
  </si>
  <si>
    <t>FDA-2</t>
  </si>
  <si>
    <t>Função Gratificada de Direção e Assessoramento - 3</t>
  </si>
  <si>
    <t>Função Gratificada de Direção e Assessoramento - 4</t>
  </si>
  <si>
    <t>TOTAL DAS FUNÇÕES GRATIFICADAS DE DIREÇÃO E ASSESSORAMENTO E DAS SUAS REMUNERAÇÕES</t>
  </si>
  <si>
    <t>FUNÇÃO GRATIFICADA DE SUPERVISÃO E APOIO</t>
  </si>
  <si>
    <t>DESCRITIVO [39]</t>
  </si>
  <si>
    <t>SÍMBOLO [40]</t>
  </si>
  <si>
    <t>LOTAÇÃO [41]</t>
  </si>
  <si>
    <t>CATEGORIA [42]</t>
  </si>
  <si>
    <t>QTD. [43]</t>
  </si>
  <si>
    <t>SERVIDOR [44]</t>
  </si>
  <si>
    <t>VENCIMENTO [45]</t>
  </si>
  <si>
    <t>REPRESENTAÇÃO [46]</t>
  </si>
  <si>
    <t>MONTANTE [47]</t>
  </si>
  <si>
    <t>PAULO ROBERTO PEREIRA FRANÇA</t>
  </si>
  <si>
    <t>BENITO GUSTAVO CARACIOLO</t>
  </si>
  <si>
    <t>JOÃO CARLOS ALVES DE SIQUEIRA</t>
  </si>
  <si>
    <t>JOSÉ AURÉLIO COSTA GALINDO</t>
  </si>
  <si>
    <t>MARIA DO SOCORRO DOS SANTOS</t>
  </si>
  <si>
    <t>ELDO CAVALCANTI NOVAES</t>
  </si>
  <si>
    <t>GLENDA MÔNIDA LUNA DE HOLANDA</t>
  </si>
  <si>
    <t>SAMY BIANCHINI</t>
  </si>
  <si>
    <t>EXQ</t>
  </si>
  <si>
    <t>REJANE MARIA SOBRAL</t>
  </si>
  <si>
    <t>GUSTAVO ADOLFO LELIS CABRAL</t>
  </si>
  <si>
    <t>RELAÇÃO DAS FUNÇÕES GRATIFICADAS DE SUPERVISÃO E APOIO [48]</t>
  </si>
  <si>
    <t>SIMBOLO [49]</t>
  </si>
  <si>
    <t>QTD. PREENCHIDOS [50]</t>
  </si>
  <si>
    <t>QTD. VAGO [51]</t>
  </si>
  <si>
    <t>TOTAL QTD. [52]</t>
  </si>
  <si>
    <t>TOTAL VENCIMENTO [53]</t>
  </si>
  <si>
    <t>TOTAL REPRESENTAÇÃO [54]</t>
  </si>
  <si>
    <t>TOTAL MONTANTE [55]</t>
  </si>
  <si>
    <t>Função Gratificada de Supervisão -1</t>
  </si>
  <si>
    <t>Função Gratificada de Supervisão -2</t>
  </si>
  <si>
    <t xml:space="preserve">FGS-2 </t>
  </si>
  <si>
    <t>Função Gratificada de Supervisão -3</t>
  </si>
  <si>
    <t>FGS-3</t>
  </si>
  <si>
    <t xml:space="preserve">Função Gratificada de Apoio -1 </t>
  </si>
  <si>
    <t xml:space="preserve">FGA-1 </t>
  </si>
  <si>
    <t>Função Gratificada de Apoio -2</t>
  </si>
  <si>
    <t xml:space="preserve">Função Gratificada de Apoio -3 </t>
  </si>
  <si>
    <t>FGA-3</t>
  </si>
  <si>
    <t>TOTAL DAS FUNÇÕES GRATIFICADAS DE SUPERVISÃO E APOIO E DAS SUAS REMUNERAÇÕES</t>
  </si>
  <si>
    <t>TOTAL QTD. PREENCHIDOS [56]</t>
  </si>
  <si>
    <t>TOTAL QTD. VAGO [57]</t>
  </si>
  <si>
    <t>TOTAL QTD. [58]</t>
  </si>
  <si>
    <t>VALOR TOTAL VENCIMENTO [59]</t>
  </si>
  <si>
    <t>VALOR TOTAL REPRESENTAÇÃO [60]</t>
  </si>
  <si>
    <t>VALOR TOTAL MONTANTE [61]</t>
  </si>
  <si>
    <t>QUANTITATIVO TOTAL DOS CARGOS EM COMISSÃO + FUNÇÕES GRATIFICADAS E VALOR TOTAL DAS SUAS REMUNERAÇÕES</t>
  </si>
  <si>
    <t>EMBASAMENTO LEGAL:</t>
  </si>
  <si>
    <t>Lei nº 6.123, de 20 de julho de 1968 (institui o regime jurídico dos funcionários públicos civis do Estado de Pernambuco).</t>
  </si>
  <si>
    <t>Lei nº 16.520, de 27 de dezembro de 2018 (Lei que dispõe sobre a estrutura e o funcionamento do Poder Executivo vigente à epoca da divulgação)</t>
  </si>
  <si>
    <t>Enumerar Decreto(s) de Alocação de Cargos Comissionados e Funções Gratificadas do órgão ou entidade ou normativo equivalente vigentes à epoca da divulgação</t>
  </si>
  <si>
    <t>Decreto que aprova o Regulamento do órgão ou entidade ou normativo equivalente vigente à epoca da divulgação</t>
  </si>
  <si>
    <t>Decreto que aprova o Manual de Serviços do órgão ou entidade ou normativo equivalente vigente à epoca da divulgação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</si>
  <si>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</si>
  <si>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</si>
  <si>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</si>
  <si>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Descrever o nome do cargo comissionado como consta no Decreto de Alocação do Cargo e/ou Regulamento do órgão ou entidade. Exemplos da SCGE: Secretário Executivo da Controladoria-Geral do Estado, Chefe de Gabinete, Assessor de Comunicação, etc.</t>
  </si>
  <si>
    <t>[4] (célula de preenchimento obrigatório, pois serve de base para a contabilização dos quantitativos totais de cargos, funções e gratificações preenchidos e vagos). Lista suspensa. Simbolo do cargo comissionado, conforme Lei Estadual nº 16.520/2018. Opções: DAS, DAS-1, DAS-2, DAS-3, DAS-4, DAS-5, CAA-1, CAA-2, CAA-3, CAA-4 e CAA-5.</t>
  </si>
  <si>
    <t>[5] Descrever a sigla da lotação referente ao cargo comissionado. Exemplos de siglas da SCGE: GAB/SECGE, GAB/CGAB, CGAB/ASC, etc.</t>
  </si>
  <si>
    <t>[6]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</si>
  <si>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[7] (Não editar as células em cinza). Quantitativo dos cargos comissionados existentes, por servidor. Como essa contagem é por servidor, esse número sempre será "1". Essa coluna servirá como base para contabilizar o quantitativo total de servidores com cargos comissionados.</t>
  </si>
  <si>
    <t>[8] Nome completo do servidor ocupante do cargo comissionado. Caso o cargo esteja vago, a palavra "VAGO" deverá ser inserida na célula correspondente.</t>
  </si>
  <si>
    <t>[9] Valor do subsídio do agente político, em Reais (R$).</t>
  </si>
  <si>
    <t>[10] Valor do vencimento do servidor, em Reais (R$).</t>
  </si>
  <si>
    <t>[11] Valor da representação paga em razão do cargo em comissão, em Reais (R$).</t>
  </si>
  <si>
    <t>[12] (Células de preenchimento automático). Montante resultante da soma entre o subsídio do agente político + vencimento + representação, em Reais (R$).</t>
  </si>
  <si>
    <t>[13] (Não editar as células em cinza). Relação de todos os cargos comissionados, conforme Lei Estadual nº 16.520/2018.</t>
  </si>
  <si>
    <t>[14] (Não editar as células em cinza). Relação de todos os símbolos dos cargos comissionados, conforme Lei Estadual nº 16.520/2018.</t>
  </si>
  <si>
    <t>[15] (Células de preenchimento automático). Quantitativo dos cargos comissionados preenchidos.</t>
  </si>
  <si>
    <t>[16] (Células de preenchimento automático). Quantitativo dos cargos comissionados vagos.</t>
  </si>
  <si>
    <t>[17] (Células de preenchimento automático). Quantitativo dos cargos comissionados existentes (preenchidos + vagos).</t>
  </si>
  <si>
    <t>[18] (Células de preenchimento automático). Valor total do subsídio do agente político, em Reais (R$).</t>
  </si>
  <si>
    <t>[19] (Células de preenchimento automático). Valor total dos vencimentos dos servidores em razão do cargo em comissão, em Reais (R$).</t>
  </si>
  <si>
    <t>[20] (Células de preenchimento automático). Valor total das representações pagas em razão do cargo em comissão, em Reais (R$).</t>
  </si>
  <si>
    <t>[21] (Células de preenchimento automático). Valor total dos montantes resultantes da soma entre os subsídios dos agentes políticos + vencimentos + representações, em Reais (R$).</t>
  </si>
  <si>
    <t>[22] Descrever o nome da função gratificada de direção e assessoramento, conforme Decreto de Alocação da Função Gratificada e/ou Regulamento do órgão ou entidade. Exemplos da SCGE: Diretora da Ouvidoria-Geral do Estado, Gestora da Setorial Contábil, Coordenador de Auditoria de Obras Públicas, etc.</t>
  </si>
  <si>
    <t>[23] (célula de preenchimento obrigatório, pois serve de base para a contabilização dos quantitativos totais de cargos, funções e gratificações preenchidos e vagos). Lista suspensa. Simbolo da função gratificada de direção e assessoramento, conforme Lei Estadual No 16.520/2018. Opções: FDA, FDA-1, FDA-2, FDA-3, FDA-4.</t>
  </si>
  <si>
    <t>[24] Descrever a sigla da lotação referente à função gratificada de direção e assessoramento. Exemplos de siglas da SCGE: GAB/DOGE, DPGE/GAF/GSC, DAUD/COP, etc.</t>
  </si>
  <si>
    <t>[25]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</si>
  <si>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[26] (Não editar as células em cinza). Quantitativo das funções gratificadas de direção e assessoramento existentes, por servidor. Como essa contagem é por servidor, esse número sempre será "1". Essa coluna servirá como base para contabilizar o quantitativo total de servidores com função gratificada de direção e assessoramento.</t>
  </si>
  <si>
    <t>[27] Nome completo do servidor ocupante da função gratificada de direção e assessoramento. Caso a função gratificada de direção e assessoramento esteja vaga, a palavra "VAGA" deverá ser inserida na célula correspondente.</t>
  </si>
  <si>
    <t>[28] Valor do vencimento do servidor, em Reais (R$).</t>
  </si>
  <si>
    <t>[29] Valor da representação paga em razão da função gratificada de direção e assessoramento, em Reais (R$).</t>
  </si>
  <si>
    <t>[30] (Células de preenchimento automático). Montante resultante da soma entre o vencimento + representação, em Reais (R$).</t>
  </si>
  <si>
    <t>[31] (Não editar as células em cinza). Relação de todas as funções gratificadas de direção e assessoramento, conforme Lei Estadual nº 16.520/2018.</t>
  </si>
  <si>
    <t>[32] (Não editar as células em cinza). Relação de todos os símbolos das funções gratificadas de direção e assessoramento, conforme Lei Estadual nº 16.520/2018.</t>
  </si>
  <si>
    <t>[33] (Células de preenchimento automático). Quantitativo das funções gratificadas de direção e assessoramento preenchidos.</t>
  </si>
  <si>
    <t>[34] (Células de preenchimento automático). Quantitativo das funções gratificadas de direção e assessoramento vagas.</t>
  </si>
  <si>
    <t>[35] (Células de preenchimento automático). Quantitativo das funções gratificadas de direção e assessoramento existentes (preenchidos + vagos).</t>
  </si>
  <si>
    <t>[36] (Células de preenchimento automático). Valor total dos vencimentos dos servidores, em Reais (R$).</t>
  </si>
  <si>
    <t>[37] (Células de preenchimento automático). Valor total das representações pagas em razão da função gratificada de direção e assessoramento, em Reais (R$).</t>
  </si>
  <si>
    <t>[38] (Células de preenchimento automático). Valor total dos montantes resultantes da soma entre os vencimentos + representações, em Reais (R$).</t>
  </si>
  <si>
    <t xml:space="preserve">[39] Descrever o nome da função gratificada de supervisão e apoio como consta no Decreto de Alocação da Função Gratificada e/ou Manual de Serviços do órgão ou entidade. Exemplos da SCGE: Chefia da Unidade de Apoio e Projetos, Chefia da Unidade de Obras e Serviços de Engenharia, Chefia da Unidade de Licitações e Contratos, Função Gratificada de Supervisão 3, Função Gratificada de Apoio 2 etc. </t>
  </si>
  <si>
    <t>[40] (célula de preenchimento obrigatório, pois serve de base para a contabilização dos quantitativos totais de cargos, funções e gratificações preenchidos e vagos). Lista suspensa. Simbolo da função gratificada de supervisão e apoio, conforme Lei Estadual No 16.520/2018. Opções: FGS-1, FGS-2, FGS-3, FGA-1, FGA-2 e FGA-3.</t>
  </si>
  <si>
    <t>[41] Descrever a sigla da lotação referente à função gratificada de supervisão e apoio. Exemplos de siglas da SCGE: DAUD/UAPP, DAUD/COP/UAOP, DAUD/CLC/UALC, etc.</t>
  </si>
  <si>
    <t>[42] (célula de preenchimento obrigatório, pois serve de base para a contabilização dos quantitativos totais de cargos, funções e gratificações preenchidos e vagos). 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</si>
  <si>
    <t>[43] (Não editar as células em cinza). Quantitativo das funções gratificadas de supervisão e apoio existentes, por servidor. Como essa contagem é por servidor, esse número sempre será "1". Essa coluna servirá como base para contabilizar o quantitativo total de servidores com função gratificada de supervisão e apoio.</t>
  </si>
  <si>
    <t>[44] Nome completo do servidor ocupante da função gratificada de supervisão e apoio. Caso a função gratificada de supervisão e apoio esteja vaga, a palavra "VAGA" deverá ser inserida na célula correspondente.</t>
  </si>
  <si>
    <t>[45] Valor do vencimento do servidor, em Reais (R$).</t>
  </si>
  <si>
    <t>[46] Valor da representação paga em razão da função gratificada de supervisão e apoio, em Reais (R$).</t>
  </si>
  <si>
    <t>[47] (Células de preenchimento automático). Montante resultante da soma entre o vencimento + representação, em Reais (R$).</t>
  </si>
  <si>
    <t>[48] (Não editar as células em cinza). Relação de todas as funções gratificadas de supervisão e apoio, conforme Lei Estadual nº 16.520/2018.</t>
  </si>
  <si>
    <t>[49] (Não editar as células em cinza). Relação de todos os símbolos das funções gratificadas de supervisão e apoio, conforme Lei Estadual nº 16.520/2018.</t>
  </si>
  <si>
    <t>[50] (Células de preenchimento automático). Quantitativo das funções gratificadas de supervisão e apoio preenchidos.</t>
  </si>
  <si>
    <t>[51] (Células de preenchimento automático). Quantitativo das funções gratificadas de supervisão e apoio vagos.</t>
  </si>
  <si>
    <t>[52] (Células de preenchimento automático). Quantitativo das funções gratificadas de supervisão e apoio existentes (preenchidos + vagos).</t>
  </si>
  <si>
    <t>[53] (Células de preenchimento automático). Valor total dos vencimentos dos servidores, em Reais (R$).</t>
  </si>
  <si>
    <t>[54] (Células de preenchimento automático). Valor total das representações pagas em razão da função gratificada de supervisão e apoio, em Reais (R$).</t>
  </si>
  <si>
    <t>[55] (Células de preenchimento automático). Valor total dos montantes resultantes da soma entre os vencimentos + representações, em Reais (R$).</t>
  </si>
  <si>
    <t>[56] (Células de preenchimento automático). Quantitativo dos cargos em comissão + funções gratificadas preenchidos.</t>
  </si>
  <si>
    <t>[57] (Células de preenchimento automático). Quantitativo dos cargos em comissão + funções gratificadas vagos.</t>
  </si>
  <si>
    <t>[58] (Células de preenchimento automático). Quantitativo dos cargos em comissão + funções gratificadas existentes (preenchidos + vagos).</t>
  </si>
  <si>
    <t>[59] (Células de preenchimento automático). Valor total dos vencimentos dos cargos comissionados + funções gratificadas, em Reais (R$).</t>
  </si>
  <si>
    <t>[60] (Células de preenchimento automático). Valor total das representações pagas em razão dos cargos comissionados + funções gratificadas, em Reais (R$).</t>
  </si>
  <si>
    <t>[61] (Células de preenchimento automático). Valor total dos montantes resultantes da soma entre os vencimentos + representações pagas em razão dos cargos comissionados + funções gratificadas, em Reais (R$).</t>
  </si>
  <si>
    <t>MARIA DO CARMO FREITAS DE SÁ NUNES</t>
  </si>
  <si>
    <t>MARCOS ANTÔNIO SIMAS PEIXOTO</t>
  </si>
  <si>
    <t>DERCIVAL FREIRE DE MENEZES</t>
  </si>
  <si>
    <t>FLÁVIO DE OLIVEIRA SILVA</t>
  </si>
  <si>
    <t>FRANCISCO ELÍSIO VALGUEIRO MALTA FEITOSA</t>
  </si>
  <si>
    <t>FRANCISCO DE ASSIS HONÓRIO REMÍGIO</t>
  </si>
  <si>
    <t>RAQUEL REJANE RODRIGUES DE ARAÚJO</t>
  </si>
  <si>
    <t>JURANDIR BARBOSA CALVANTI JÚNIOR</t>
  </si>
  <si>
    <t>MARCELLA LUIZ DE FIGUEIREDO BARBOSA</t>
  </si>
  <si>
    <r>
      <t>JURANDIR DUTRA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</si>
  <si>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SEVERINO RAMOS DE LIMA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</si>
  <si>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IRACY LEÃO CASTANHA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</si>
  <si>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CRISTIANNE DE SOUZA PIRES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</si>
  <si>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r>
      <t>JOSÉ ALEXANDRE CAVALCANTE DE ANDRADE (EXQ-</t>
    </r>
    <r>
      <rPr>
        <b/>
        <sz val="11"/>
        <color theme="1"/>
        <rFont val="Arial"/>
        <family val="2"/>
      </rPr>
      <t>DER</t>
    </r>
    <r>
      <rPr>
        <sz val="11"/>
        <color theme="1"/>
        <rFont val="Arial"/>
        <family val="2"/>
      </rPr>
      <t>)</t>
    </r>
  </si>
  <si>
    <r>
      <t xml:space="preserve">Lei Complemenar </t>
    </r>
    <r>
      <rPr>
        <b/>
        <sz val="8"/>
        <color theme="1"/>
        <rFont val="Arial"/>
        <family val="2"/>
      </rPr>
      <t xml:space="preserve">480 </t>
    </r>
    <r>
      <rPr>
        <sz val="8"/>
        <color theme="1"/>
        <rFont val="Arial"/>
        <family val="2"/>
      </rPr>
      <t>de</t>
    </r>
    <r>
      <rPr>
        <b/>
        <sz val="8"/>
        <color theme="1"/>
        <rFont val="Arial"/>
        <family val="2"/>
      </rPr>
      <t xml:space="preserve"> 30 de março de 2022</t>
    </r>
    <r>
      <rPr>
        <sz val="8"/>
        <color theme="1"/>
        <rFont val="Arial"/>
        <family val="2"/>
      </rPr>
      <t xml:space="preserve"> que dispõe sobre medidas de valorização profissional dos servidores públicos do Poder Executivo Estadual, a partir de </t>
    </r>
    <r>
      <rPr>
        <b/>
        <u/>
        <sz val="8"/>
        <color theme="1"/>
        <rFont val="Arial"/>
        <family val="2"/>
      </rPr>
      <t>01/06/2022</t>
    </r>
    <r>
      <rPr>
        <sz val="8"/>
        <color theme="1"/>
        <rFont val="Arial"/>
        <family val="2"/>
      </rPr>
      <t xml:space="preserve">.
 </t>
    </r>
  </si>
  <si>
    <t>ROSÁRIO DE FÁTIMA SOUZA DE BARROS CORREIA</t>
  </si>
  <si>
    <r>
      <t>MARIA DE FÁTIMA BARBOSA DA SILVA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 xml:space="preserve">) </t>
    </r>
  </si>
  <si>
    <t xml:space="preserve">MARCOS ANTÔNIO DUARTE </t>
  </si>
  <si>
    <t xml:space="preserve">AIRTON EUSTÁQUIO COSTA MIRANDA </t>
  </si>
  <si>
    <t xml:space="preserve">KALINA MARIA REBELO MONTEIRO </t>
  </si>
  <si>
    <r>
      <t xml:space="preserve">Decreto nº </t>
    </r>
    <r>
      <rPr>
        <b/>
        <sz val="8"/>
        <color theme="1"/>
        <rFont val="Arial"/>
        <family val="2"/>
      </rPr>
      <t>54.393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02/01/2023</t>
    </r>
    <r>
      <rPr>
        <sz val="8"/>
        <color theme="1"/>
        <rFont val="Arial"/>
        <family val="2"/>
      </rPr>
      <t xml:space="preserve"> exonerado-os e dispensando-os, a partir de </t>
    </r>
    <r>
      <rPr>
        <b/>
        <u/>
        <sz val="8"/>
        <color theme="1"/>
        <rFont val="Arial"/>
        <family val="2"/>
      </rPr>
      <t>01/01/2023</t>
    </r>
    <r>
      <rPr>
        <sz val="8"/>
        <color theme="1"/>
        <rFont val="Arial"/>
        <family val="2"/>
      </rPr>
      <t xml:space="preserve">, publicado do DOE do dia </t>
    </r>
    <r>
      <rPr>
        <b/>
        <sz val="8"/>
        <color theme="1"/>
        <rFont val="Arial"/>
        <family val="2"/>
      </rPr>
      <t>03/01/2023</t>
    </r>
    <r>
      <rPr>
        <sz val="8"/>
        <color theme="1"/>
        <rFont val="Arial"/>
        <family val="2"/>
      </rPr>
      <t xml:space="preserve"> e republicado em </t>
    </r>
    <r>
      <rPr>
        <b/>
        <sz val="8"/>
        <color theme="1"/>
        <rFont val="Arial"/>
        <family val="2"/>
      </rPr>
      <t>04/01/2023</t>
    </r>
    <r>
      <rPr>
        <sz val="8"/>
        <color theme="1"/>
        <rFont val="Arial"/>
        <family val="2"/>
      </rPr>
      <t>.</t>
    </r>
  </si>
  <si>
    <t xml:space="preserve">GUSTAVO ADOLFO LELIS CABRAL </t>
  </si>
  <si>
    <t>GERENTE REGIONAL DE SERRA TALHADA</t>
  </si>
  <si>
    <t>GERENTE REGIONAL DE SURUBIM</t>
  </si>
  <si>
    <t>GERENTE REGIONAL DE PETROLINA</t>
  </si>
  <si>
    <t>GERENTE REGIONAL DE CARUARU</t>
  </si>
  <si>
    <t>LUIS CARLOS DE ARAÚJO</t>
  </si>
  <si>
    <t>GERENTE ESTADUAL DE DEFESA VEGETAL</t>
  </si>
  <si>
    <t>GERENTE REGIONAL DE SANHARÓ</t>
  </si>
  <si>
    <t>GERENTE REGIONAL DE OURICURI</t>
  </si>
  <si>
    <t>GERENTE ESTADUAL DE SISTEMA AGROPECUÁRIA</t>
  </si>
  <si>
    <t>GERENTE REGIONAL DE SALGUEIRO</t>
  </si>
  <si>
    <t>GERENTE REGIONAL DE RECIFE</t>
  </si>
  <si>
    <t>GERENTE REGIONAL DE SERTÂNIA</t>
  </si>
  <si>
    <t>GERENTE ESTADUAL ADMINISTRATIVA E FINANCEIRA</t>
  </si>
  <si>
    <t>GERENTE REGIONAL DE GARANHUNS</t>
  </si>
  <si>
    <t>GERENTE REGIONAL DE PALMARES</t>
  </si>
  <si>
    <r>
      <t>LAURO TELES DE CARVALHO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</si>
  <si>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GERENTE ESTADUAL DE INSPEÇÃO ANIMAL</t>
  </si>
  <si>
    <t>GERENTE ESTADUAL DE CADASTRO E REGISTRO</t>
  </si>
  <si>
    <t>GERENTE ESTADUAL DE DEFESA ANIMAL</t>
  </si>
  <si>
    <t>GERENTE ESTADUAL DE INSPEÇÃO VEGETAL</t>
  </si>
  <si>
    <t>CHEFE ESTADUAL DO AMOXARIFADO</t>
  </si>
  <si>
    <r>
      <t>GILVAN NATANAEL DE SOUZA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</t>
    </r>
  </si>
  <si>
    <t>GABINETE</t>
  </si>
  <si>
    <t>FUNÇÃO GRATIFICADA DE SUPERVISÃO-2</t>
  </si>
  <si>
    <t>FUNÇÃO GRATIFICADA DE APOIO-1</t>
  </si>
  <si>
    <t>FILIPE DE MOURA E REIS DE MELO</t>
  </si>
  <si>
    <t>FUNÇÃO GRATIFICADA DE APOIO-2</t>
  </si>
  <si>
    <t>LONJORÉ LEOCÁDIO DE LIMA</t>
  </si>
  <si>
    <t>ISABELE VALENTE NEVES</t>
  </si>
  <si>
    <r>
      <t xml:space="preserve">Decreto nº </t>
    </r>
    <r>
      <rPr>
        <b/>
        <sz val="8"/>
        <color theme="1"/>
        <rFont val="Arial"/>
        <family val="2"/>
      </rPr>
      <t>54.410 de 24/01/2023 aloca e denomina na Sec. Desenvolv. Agrário, Agricultura, Pesca e Pecuária e vinculadas em comissões e Funções Gratificadas.</t>
    </r>
  </si>
  <si>
    <t>CADASTRO-RH-DGAF, 14/02/2023</t>
  </si>
  <si>
    <t xml:space="preserve">COORDENADOR ESTADUAL DE CONVÊNIOS </t>
  </si>
  <si>
    <t>COORDENADOR ESTADUAL DE INFORMÁTICA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</si>
  <si>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</si>
  <si>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ASSESSORA ESPECIAL DE CONTROLE INTERNO</t>
  </si>
  <si>
    <t>KÉSIA ALCÂNTARA QUEIROZ PONTUAL</t>
  </si>
  <si>
    <t>GERENTE ESTADUAL DE TRÂNSITO ANIMAL</t>
  </si>
  <si>
    <t>WANESSA NOADYA KETRUY DE OLIVEIRA</t>
  </si>
  <si>
    <t>CADASTRO-RH-DGAF, 24/03/2023</t>
  </si>
  <si>
    <t>PAULO ROBERTO DE ANDRADE LIMA (*)</t>
  </si>
  <si>
    <t>MARIA EUGÊNIA SORIANO FERREIRA NUNES</t>
  </si>
  <si>
    <t>JANAYRA MAGALHÃES LEITE</t>
  </si>
  <si>
    <t>(*) Esse cargo permaneceu ocupado até 14/03/2023 quando terminou a sabatina (quando termina o ciclo desse mandato exigido por lei).</t>
  </si>
  <si>
    <t>(**) Foram designadas através da portaria ADAGRO Nº 007 E 008, ambas, de 01/03/2023.</t>
  </si>
  <si>
    <t>CADASTRO-RH-DGAF, 19/04/2023</t>
  </si>
  <si>
    <t>MONTANTE (12)</t>
  </si>
  <si>
    <t>DIRETORA PRESIDENTE</t>
  </si>
  <si>
    <t>GAB/PRESID</t>
  </si>
  <si>
    <t>RAQUEL MELO DE MIRANDA</t>
  </si>
  <si>
    <t>DIRETORA DE GESTÃO ADMINISTRATIVA E FINANCEIRA</t>
  </si>
  <si>
    <t>ELDEMBERGA GRANGEIRO DOS ANJOS - (ABRIL SEM RECEBER, RECEBERÁ EM MAIO)</t>
  </si>
  <si>
    <t>MARCOS PAULO DE OLIVEIRA DE FARIAS - (ABRIL SEM RECEBER, RECEBERÁ EM MAIO)</t>
  </si>
  <si>
    <t>ASSESSORA DE COMUNICAÇÃO</t>
  </si>
  <si>
    <t>AMANDA ARAÚJO DE LIRA - (ABRIL SEM RECEBER, RECEBERÁ EM MAIO)</t>
  </si>
  <si>
    <t xml:space="preserve">COORDENADORA ESTADUAL DE CONVÊNIOS </t>
  </si>
  <si>
    <t>CINTYA DE FÁTIMA LOPES DA SLVA - (ABRIL SEM RECEBER, RECEBERÁ EM MAIO)</t>
  </si>
  <si>
    <t>MARCOS ALEXANDRE BARBOSA DELGADO - (ABRIL SEM RECEBER, RECEBERÁ EM MAIO)</t>
  </si>
  <si>
    <t>ARIMAR MICHELINE DA SILVA LIMA - (ABRIL SEM RECEBER, RECEBERÁ EM MAIO)</t>
  </si>
  <si>
    <t>PAULO FERNANDO COSTA DA FONTE (IRH/FIDEM) (ABRIL SEM RECEBER, RECEBERÁ EM MAIO)</t>
  </si>
  <si>
    <t>JURANDIR BARBOSA CAVALCANTE JÚNIOR</t>
  </si>
  <si>
    <t>FERNANDO GOES DE MIRANADA</t>
  </si>
  <si>
    <t>ANTÔNIO TELES NETO</t>
  </si>
  <si>
    <t>(JURANDIR + FERNANDO) =</t>
  </si>
  <si>
    <t>(ANTÔNIO) =</t>
  </si>
  <si>
    <t xml:space="preserve">REJANE MARIA SOBRAL ESTÁ SENDO SUBSTITUÍDA POR LONJORÉ LEOCÁDIO DE LIMA (LIC PR) </t>
  </si>
  <si>
    <t>R$ 8 479,33   R$ 5.563,85</t>
  </si>
  <si>
    <t>R$ 849,76 + R$ 461,35</t>
  </si>
  <si>
    <t>8.940,68 +5.925,20</t>
  </si>
  <si>
    <t>JOSÉ STANLEY DE OLIVEIRA SILVA</t>
  </si>
  <si>
    <t>ALEXANDRE DA SILVA XAVIER</t>
  </si>
  <si>
    <t>(uma servidora está de licença prêmio com outra respondendo, as duas ganhando) Lonjoré só irá receber em maio/2023</t>
  </si>
  <si>
    <t>CADASTRO-RH-DGAF, 19/05/2023</t>
  </si>
  <si>
    <t xml:space="preserve">ELDEMBERGA GRANGEIRO DOS ANJOS </t>
  </si>
  <si>
    <t xml:space="preserve">MARCOS PAULO DE OLIVEIRA DE FARIAS </t>
  </si>
  <si>
    <t xml:space="preserve">AMANDA ARAÚJO DE LIRA </t>
  </si>
  <si>
    <t xml:space="preserve">CINTYA DE FÁTIMA LOPES DA SLVA </t>
  </si>
  <si>
    <t>MARCOS ALEXANDRE BARBOSA DELGADO</t>
  </si>
  <si>
    <t>ARIMAR MICHELINE DA SILVA LIMA</t>
  </si>
  <si>
    <t xml:space="preserve">PAULO FERNANDO COSTA DA FONTE (EXQ -IRH/FIDEM) </t>
  </si>
  <si>
    <t>REF. MAIO/2023</t>
  </si>
  <si>
    <t>CADASTRO-RH-DGAF, 20/06/2023</t>
  </si>
  <si>
    <t>(VENCTO EXQ ORG DE ORIGEM, JURANDIR E FERNANDO, EST) =</t>
  </si>
  <si>
    <t>R$ 849,76 + R$ 849,76</t>
  </si>
  <si>
    <r>
      <t>CRISTIANNE DE SOUZA PIRES (EXQ-</t>
    </r>
    <r>
      <rPr>
        <b/>
        <sz val="11"/>
        <color theme="1"/>
        <rFont val="Arial"/>
        <family val="2"/>
      </rPr>
      <t>PERPART</t>
    </r>
    <r>
      <rPr>
        <sz val="11"/>
        <color theme="1"/>
        <rFont val="Arial"/>
        <family val="2"/>
      </rPr>
      <t>) (*)</t>
    </r>
  </si>
  <si>
    <t>(uma servidora está de licença prêmio com outra respondendo, as duas ganhando) foi prorrogada a portaria inicial)</t>
  </si>
  <si>
    <r>
      <t xml:space="preserve">(*) Permaneceu nesta função gratificada até o dia </t>
    </r>
    <r>
      <rPr>
        <b/>
        <u/>
        <sz val="8"/>
        <color theme="1"/>
        <rFont val="Calibri"/>
        <family val="2"/>
        <scheme val="minor"/>
      </rPr>
      <t>14/06/2023</t>
    </r>
    <r>
      <rPr>
        <sz val="8"/>
        <color theme="1"/>
        <rFont val="Calibri"/>
        <family val="2"/>
        <scheme val="minor"/>
      </rPr>
      <t>, tendo em vista ter sido devolvida ao seu órgão de origem(</t>
    </r>
    <r>
      <rPr>
        <b/>
        <sz val="8"/>
        <color theme="1"/>
        <rFont val="Calibri"/>
        <family val="2"/>
        <scheme val="minor"/>
      </rPr>
      <t>PERPART</t>
    </r>
    <r>
      <rPr>
        <sz val="8"/>
        <color theme="1"/>
        <rFont val="Calibri"/>
        <family val="2"/>
        <scheme val="minor"/>
      </rPr>
      <t xml:space="preserve">), a partir do dia </t>
    </r>
    <r>
      <rPr>
        <b/>
        <u/>
        <sz val="8"/>
        <color theme="1"/>
        <rFont val="Calibri"/>
        <family val="2"/>
        <scheme val="minor"/>
      </rPr>
      <t>15/06/2023</t>
    </r>
    <r>
      <rPr>
        <sz val="8"/>
        <color theme="1"/>
        <rFont val="Calibri"/>
        <family val="2"/>
        <scheme val="minor"/>
      </rPr>
      <t xml:space="preserve">, conforme portaria </t>
    </r>
    <r>
      <rPr>
        <b/>
        <sz val="8"/>
        <color theme="1"/>
        <rFont val="Calibri"/>
        <family val="2"/>
        <scheme val="minor"/>
      </rPr>
      <t>SAD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2959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06/07/2023</t>
    </r>
    <r>
      <rPr>
        <sz val="8"/>
        <color theme="1"/>
        <rFont val="Calibri"/>
        <family val="2"/>
        <scheme val="minor"/>
      </rPr>
      <t xml:space="preserve">, conforme publicaçao do </t>
    </r>
    <r>
      <rPr>
        <b/>
        <sz val="8"/>
        <color theme="1"/>
        <rFont val="Calibri"/>
        <family val="2"/>
        <scheme val="minor"/>
      </rPr>
      <t>DOE</t>
    </r>
    <r>
      <rPr>
        <sz val="8"/>
        <color theme="1"/>
        <rFont val="Calibri"/>
        <family val="2"/>
        <scheme val="minor"/>
      </rPr>
      <t xml:space="preserve"> nº </t>
    </r>
    <r>
      <rPr>
        <b/>
        <sz val="8"/>
        <color theme="1"/>
        <rFont val="Calibri"/>
        <family val="2"/>
        <scheme val="minor"/>
      </rPr>
      <t>126</t>
    </r>
    <r>
      <rPr>
        <sz val="8"/>
        <color theme="1"/>
        <rFont val="Calibri"/>
        <family val="2"/>
        <scheme val="minor"/>
      </rPr>
      <t xml:space="preserve"> de </t>
    </r>
    <r>
      <rPr>
        <b/>
        <sz val="8"/>
        <color theme="1"/>
        <rFont val="Calibri"/>
        <family val="2"/>
        <scheme val="minor"/>
      </rPr>
      <t>07/07/2023</t>
    </r>
    <r>
      <rPr>
        <sz val="8"/>
        <color theme="1"/>
        <rFont val="Calibri"/>
        <family val="2"/>
        <scheme val="minor"/>
      </rPr>
      <t>.</t>
    </r>
  </si>
  <si>
    <t>REF. JUNHO/2023</t>
  </si>
  <si>
    <t>CADASTRO-RH-DGAF, 19/07/2023</t>
  </si>
  <si>
    <t xml:space="preserve">                              GOVERNO DO ESTADO DE PERNAMBUCO </t>
  </si>
  <si>
    <t xml:space="preserve">                              ANEXO II - CARGOS EM COMISSÃO E FUNÇÕES GRATIFICADAS [DESCRITIVO DOS OCUPANTES, QUANTITATIVOS E VAGAS NÃO PREENCHIDAS] (ITENS 4.3 E 4.4 DO ANEXO I, DA PORTARIA SCGE Nº 27/2022)</t>
  </si>
  <si>
    <t>CADASTRO-RH-DGAF, 23/08/2023</t>
  </si>
  <si>
    <r>
      <t xml:space="preserve">REF. </t>
    </r>
    <r>
      <rPr>
        <b/>
        <sz val="11"/>
        <color theme="1"/>
        <rFont val="Calibri"/>
        <family val="2"/>
        <scheme val="minor"/>
      </rPr>
      <t>JULHO/2023</t>
    </r>
  </si>
  <si>
    <r>
      <t xml:space="preserve">(***) O servidor foi dispensado da função de FGA-1, a partir de </t>
    </r>
    <r>
      <rPr>
        <u/>
        <sz val="11"/>
        <color rgb="FF000000"/>
        <rFont val="Arial"/>
        <family val="2"/>
      </rPr>
      <t xml:space="preserve">01/07/2023 </t>
    </r>
    <r>
      <rPr>
        <sz val="11"/>
        <color rgb="FF000000"/>
        <rFont val="Arial"/>
        <family val="2"/>
      </rPr>
      <t>e fôra designado para a função de FGS-1, em mesma data, conforme portaria ADAGRO Nº 024 DE 06/07/2023 da Diretora Presidente desta autarquia, sendo publicado no DOE nº 126 de 07/07/2023. (GL)</t>
    </r>
  </si>
  <si>
    <t>(**) A servidora fôra devolvida ao seu órgão de origem (PERPART), a partir de 15/06/2023, conforme portaria SAD nº 2959 de 06/07/2023 publicada no DOE nº 126 de 07/07/2023, portanto a mesma foi dispensada automaticamente, conforme a portaria de devolução. (GL)</t>
  </si>
  <si>
    <t>(*) Pela portaria ADAGRO nº 023 de 04/07/2023 publicada no DOE nº 124 de 05/07/2023, prorrogou os efeitos da portaria ADAGRO nº 015 de 25/04/2023 - DOE nº 075 de 25/04/2023, para o período de 25/04/2023 a 15/12/2023. (GL) Saiu uma errata na publicação do DOE nº 125 de 06/07/2023, corrigindo o período para 25/04/2023 a 05/12/2023. (GL)</t>
  </si>
  <si>
    <t>(uma servidora está de licença prêmio com outra respondendo, as duas ganhando) e que fôra prorrogada a portaria inicial)</t>
  </si>
  <si>
    <t>NÃO OCUPADO (VAGO) (**)</t>
  </si>
  <si>
    <t>NÃO OCUPADO (VAGO)(***)</t>
  </si>
  <si>
    <t>REJANE MARIA SOBRAL ESTÁ SENDO SUBSTITUÍDA POR LONJORÉ LEOCÁDIO DE LIMA (LIC PR) (*)</t>
  </si>
  <si>
    <t>GUSTAVO ADOLFO LELIS CABRAL (***)</t>
  </si>
  <si>
    <t>GERÊNCIA DE RECURSOS HUMANOS - CADASTRO</t>
  </si>
  <si>
    <t>MANOEL EUGÊNIO DA MOTA SILVEIRA FILHO</t>
  </si>
  <si>
    <t>GAB/PRESI</t>
  </si>
  <si>
    <t>MARCELO SILVA MARINHO</t>
  </si>
  <si>
    <r>
      <t>GILVAN NATANAEL DE SOUZA (EXQ-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</si>
  <si>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t>FUNÇÃO GRATIFICADA DE SUPERVISÃO-1 - GRH/ CADASTRO</t>
  </si>
  <si>
    <t>NÃO OCUPADO (VAGO)</t>
  </si>
  <si>
    <r>
      <t>JURANDIR DUTRA DA SILVA (EXQ-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</si>
  <si>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SEVERINO RAMOS DE LIMA (EXQ-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</si>
  <si>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IRACY LEÃO CASTANHA (EXQ-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</si>
  <si>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t xml:space="preserve">NÃO OCUPADO (VAGO) </t>
  </si>
  <si>
    <r>
      <t>JOSÉ ALEXANDRE CAVALCANTE DE ANDRADE (EXQ-</t>
    </r>
    <r>
      <rPr>
        <b/>
        <sz val="8"/>
        <color theme="1"/>
        <rFont val="Arial"/>
        <family val="2"/>
      </rPr>
      <t>DER</t>
    </r>
    <r>
      <rPr>
        <sz val="8"/>
        <color theme="1"/>
        <rFont val="Arial"/>
        <family val="2"/>
      </rPr>
      <t>)</t>
    </r>
  </si>
  <si>
    <r>
      <t>MARIA DE FÁTIMA BARBOSA DA SILVA (EXQ-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 xml:space="preserve">) </t>
    </r>
  </si>
  <si>
    <r>
      <t xml:space="preserve">REF. </t>
    </r>
    <r>
      <rPr>
        <b/>
        <sz val="8"/>
        <color theme="1"/>
        <rFont val="Calibri"/>
        <family val="2"/>
        <scheme val="minor"/>
      </rPr>
      <t>AGOSTO/2023</t>
    </r>
  </si>
  <si>
    <t>CADASTRO-GRH-DGAF, 11/09/2023</t>
  </si>
  <si>
    <t xml:space="preserve">                              Agência de Defesa e Fiscalização Agropecuária do Estado de Pernmabuco - ADAGRO</t>
  </si>
  <si>
    <t>Atualizado em 10/6/2023</t>
  </si>
  <si>
    <t>Atualizado em 12/05/2023</t>
  </si>
  <si>
    <t>Atualizado em 10/4/2023</t>
  </si>
  <si>
    <t>Atualizado em 10/3/2023</t>
  </si>
  <si>
    <t>MARIA LISIÊ MOURA PORFÍRIO DE SANTANA</t>
  </si>
  <si>
    <r>
      <t>GILVAN NATANAEL DE SOUZA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</si>
  <si>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t xml:space="preserve">ARCELINA MARIA DE SOUZA ALVES (SEC.CIEN,TEC E INOV) </t>
  </si>
  <si>
    <r>
      <t>JURANDIR DUTRA DA SILVA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</si>
  <si>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SEVERINO RAMOS DE LIMA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</si>
  <si>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IRACY LEÃO CASTANHA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</t>
    </r>
  </si>
  <si>
    <r>
      <t>JOSÉ ALEXANDRE CAVALCANTE DE ANDRADE (</t>
    </r>
    <r>
      <rPr>
        <b/>
        <sz val="8"/>
        <color theme="1"/>
        <rFont val="Arial"/>
        <family val="2"/>
      </rPr>
      <t>DER</t>
    </r>
    <r>
      <rPr>
        <sz val="8"/>
        <color theme="1"/>
        <rFont val="Arial"/>
        <family val="2"/>
      </rPr>
      <t>)</t>
    </r>
  </si>
  <si>
    <r>
      <t>MARIA DE FÁTIMA BARBOSA DA SILVA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 xml:space="preserve">) </t>
    </r>
  </si>
  <si>
    <t>13,339,35</t>
  </si>
  <si>
    <r>
      <t xml:space="preserve">REF. </t>
    </r>
    <r>
      <rPr>
        <b/>
        <u/>
        <sz val="8"/>
        <color theme="1"/>
        <rFont val="Calibri"/>
        <family val="2"/>
        <scheme val="minor"/>
      </rPr>
      <t>SETEMBRO/2023</t>
    </r>
  </si>
  <si>
    <t>CADASTRO-GRH-DGAF, 16 A  18/10/2023</t>
  </si>
  <si>
    <t>Atualizado em 19/10/2023</t>
  </si>
  <si>
    <t>Agência de Defesa e Fiscalização Agropecuária do Estado de Pernambuco - ADAGRO</t>
  </si>
  <si>
    <t xml:space="preserve">                              Agência de Defesa e Fiscalização Agropecuária do Estado de Pernambuco - ADAGRO</t>
  </si>
  <si>
    <t>CLEITON MARQUES DE ANDRADE</t>
  </si>
  <si>
    <t>(PAULO, JURANDIR E FERNANDO, EST) =</t>
  </si>
  <si>
    <t>RAQUEL REJANE RODRIGUES DE ARAÚJO (** MARCELO SUBSTITUI EM GOZO DE LP)</t>
  </si>
  <si>
    <t>R$ 5.125,45 + R$ 5.125,45</t>
  </si>
  <si>
    <t>R$ 1.392,80 + R$ 1.392,80</t>
  </si>
  <si>
    <t>R$ 6.518,25 + R$ 6.518,25</t>
  </si>
  <si>
    <t>R$ 8 479,33 +   R$ 5.563,85</t>
  </si>
  <si>
    <t>(um dos servidores está de Licença prêmio e o outro respondendo, os dois estão ganhando a função gratificada, o titular e o substituto)</t>
  </si>
  <si>
    <r>
      <t xml:space="preserve">Lei Complemenar </t>
    </r>
    <r>
      <rPr>
        <b/>
        <sz val="8"/>
        <color theme="1"/>
        <rFont val="Arial"/>
        <family val="2"/>
      </rPr>
      <t>480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30 de março de 2022</t>
    </r>
    <r>
      <rPr>
        <sz val="8"/>
        <color theme="1"/>
        <rFont val="Arial"/>
        <family val="2"/>
      </rPr>
      <t xml:space="preserve"> que dispõe sobre medidas de valorização profissional dos servidores públicos do Poder Executivo Estadual, a partir de </t>
    </r>
    <r>
      <rPr>
        <b/>
        <u/>
        <sz val="8"/>
        <color theme="1"/>
        <rFont val="Arial"/>
        <family val="2"/>
      </rPr>
      <t>01/06/2022</t>
    </r>
    <r>
      <rPr>
        <sz val="8"/>
        <color theme="1"/>
        <rFont val="Arial"/>
        <family val="2"/>
      </rPr>
      <t>.</t>
    </r>
  </si>
  <si>
    <r>
      <t xml:space="preserve">Decreto nº </t>
    </r>
    <r>
      <rPr>
        <b/>
        <sz val="8"/>
        <color theme="1"/>
        <rFont val="Arial"/>
        <family val="2"/>
      </rPr>
      <t>55.626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26/10/2023</t>
    </r>
    <r>
      <rPr>
        <sz val="8"/>
        <color theme="1"/>
        <rFont val="Arial"/>
        <family val="2"/>
      </rPr>
      <t xml:space="preserve"> - Aloca e denomina o cargo em comissão, com financeiro a partir de </t>
    </r>
    <r>
      <rPr>
        <b/>
        <u/>
        <sz val="8"/>
        <color theme="1"/>
        <rFont val="Arial"/>
        <family val="2"/>
      </rPr>
      <t>01/11/2023 (Arimar).</t>
    </r>
  </si>
  <si>
    <r>
      <t xml:space="preserve">(*) Pela portaria ADAGRO nº 023 de 04/07/2023 publicada no DOE nº 124 de 05/07/2023, prorrogou os efeitos da portaria ADAGRO nº 015 de 25/04/2023 - DOE nº 075 de 25/04/2023, para o período de 25/04/2023 a 15/12/2023. (GL) Saiu uma errata na publicação do DOE nº 125 de 06/07/2023, corrigindo o período para </t>
    </r>
    <r>
      <rPr>
        <b/>
        <u/>
        <sz val="8"/>
        <color rgb="FF000000"/>
        <rFont val="Arial"/>
        <family val="2"/>
      </rPr>
      <t>25/04/2023 a 05/12/2023</t>
    </r>
    <r>
      <rPr>
        <sz val="8"/>
        <color rgb="FF000000"/>
        <rFont val="Arial"/>
        <family val="2"/>
      </rPr>
      <t>. (GL)</t>
    </r>
  </si>
  <si>
    <r>
      <t xml:space="preserve">(**) Pela portaria ADAGRO nº 037 de 24/10/2023 - DOE 199 de 24/10/2023, se encontra respondendo pela servidora, o servidor </t>
    </r>
    <r>
      <rPr>
        <b/>
        <u/>
        <sz val="8"/>
        <color rgb="FF000000"/>
        <rFont val="Arial"/>
        <family val="2"/>
      </rPr>
      <t>Marcelo Souza de Santana</t>
    </r>
    <r>
      <rPr>
        <sz val="8"/>
        <color rgb="FF000000"/>
        <rFont val="Arial"/>
        <family val="2"/>
      </rPr>
      <t>, Matr. Nº 335.569-1.</t>
    </r>
  </si>
  <si>
    <r>
      <t xml:space="preserve">REF. </t>
    </r>
    <r>
      <rPr>
        <b/>
        <u/>
        <sz val="8"/>
        <color theme="1"/>
        <rFont val="Calibri"/>
        <family val="2"/>
        <scheme val="minor"/>
      </rPr>
      <t>OUTUBRO/2023</t>
    </r>
  </si>
  <si>
    <t>CADASTRO-GRH-DGAF, 14 A 17/11/2023</t>
  </si>
  <si>
    <t>Atualizado em 19/11/2023</t>
  </si>
  <si>
    <t>CADASTRO-GRH-DGAF, 17 A 27/12/2023</t>
  </si>
  <si>
    <r>
      <t xml:space="preserve">REF. </t>
    </r>
    <r>
      <rPr>
        <b/>
        <u/>
        <sz val="8"/>
        <color theme="1"/>
        <rFont val="Calibri"/>
        <family val="2"/>
        <scheme val="minor"/>
      </rPr>
      <t>NOVEMBRO/2023</t>
    </r>
  </si>
  <si>
    <r>
      <t xml:space="preserve">(***) Pela portaria </t>
    </r>
    <r>
      <rPr>
        <b/>
        <sz val="7"/>
        <color theme="1"/>
        <rFont val="Calibri"/>
        <family val="2"/>
        <scheme val="minor"/>
      </rPr>
      <t>ADAGRO</t>
    </r>
    <r>
      <rPr>
        <sz val="7"/>
        <color theme="1"/>
        <rFont val="Calibri"/>
        <family val="2"/>
        <scheme val="minor"/>
      </rPr>
      <t xml:space="preserve"> nº </t>
    </r>
    <r>
      <rPr>
        <b/>
        <sz val="7"/>
        <color theme="1"/>
        <rFont val="Calibri"/>
        <family val="2"/>
        <scheme val="minor"/>
      </rPr>
      <t>038</t>
    </r>
    <r>
      <rPr>
        <sz val="7"/>
        <color theme="1"/>
        <rFont val="Calibri"/>
        <family val="2"/>
        <scheme val="minor"/>
      </rPr>
      <t xml:space="preserve"> de </t>
    </r>
    <r>
      <rPr>
        <b/>
        <sz val="7"/>
        <color theme="1"/>
        <rFont val="Calibri"/>
        <family val="2"/>
        <scheme val="minor"/>
      </rPr>
      <t>21/11/2023</t>
    </r>
    <r>
      <rPr>
        <sz val="7"/>
        <color theme="1"/>
        <rFont val="Calibri"/>
        <family val="2"/>
        <scheme val="minor"/>
      </rPr>
      <t xml:space="preserve">, foi dispensado a partir de </t>
    </r>
    <r>
      <rPr>
        <b/>
        <u/>
        <sz val="7"/>
        <color theme="1"/>
        <rFont val="Calibri"/>
        <family val="2"/>
        <scheme val="minor"/>
      </rPr>
      <t>13/11/2023</t>
    </r>
    <r>
      <rPr>
        <sz val="7"/>
        <color theme="1"/>
        <rFont val="Calibri"/>
        <family val="2"/>
        <scheme val="minor"/>
      </rPr>
      <t xml:space="preserve">, o servidor EXQ </t>
    </r>
    <r>
      <rPr>
        <b/>
        <u/>
        <sz val="7"/>
        <color theme="1"/>
        <rFont val="Calibri"/>
        <family val="2"/>
        <scheme val="minor"/>
      </rPr>
      <t>Severino Ramos de Lima</t>
    </r>
    <r>
      <rPr>
        <sz val="7"/>
        <color theme="1"/>
        <rFont val="Calibri"/>
        <family val="2"/>
        <scheme val="minor"/>
      </rPr>
      <t xml:space="preserve"> e designado, em mesma data, o servidor EXQ </t>
    </r>
    <r>
      <rPr>
        <b/>
        <sz val="7"/>
        <color theme="1"/>
        <rFont val="Calibri"/>
        <family val="2"/>
        <scheme val="minor"/>
      </rPr>
      <t>Mário Dimas do Santos</t>
    </r>
    <r>
      <rPr>
        <sz val="7"/>
        <color theme="1"/>
        <rFont val="Calibri"/>
        <family val="2"/>
        <scheme val="minor"/>
      </rPr>
      <t xml:space="preserve">. Os efeitos financeiros de Mário, só em </t>
    </r>
    <r>
      <rPr>
        <b/>
        <sz val="7"/>
        <color theme="1"/>
        <rFont val="Calibri"/>
        <family val="2"/>
        <scheme val="minor"/>
      </rPr>
      <t>Dez/2023</t>
    </r>
    <r>
      <rPr>
        <sz val="7"/>
        <color theme="1"/>
        <rFont val="Calibri"/>
        <family val="2"/>
        <scheme val="minor"/>
      </rPr>
      <t>.</t>
    </r>
  </si>
  <si>
    <r>
      <t xml:space="preserve">(**) Pela portaria ADAGRO nº 037 de 24/10/2023 - DOE 199 de 24/10/2023, se encontra respondendo pela servidora, o servidor </t>
    </r>
    <r>
      <rPr>
        <b/>
        <u/>
        <sz val="7"/>
        <color rgb="FF000000"/>
        <rFont val="Arial"/>
        <family val="2"/>
      </rPr>
      <t>Marcelo Souza de Santana</t>
    </r>
    <r>
      <rPr>
        <sz val="7"/>
        <color rgb="FF000000"/>
        <rFont val="Arial"/>
        <family val="2"/>
      </rPr>
      <t>, Matr. Nº 335.569-1, período de 23/10/2023 a 19/02/2024;</t>
    </r>
  </si>
  <si>
    <r>
      <t xml:space="preserve">(*) Pela portaria ADAGRO nº 023 de 04/07/2023 publicada no DOE nº 124 de 05/07/2023, prorrogou os efeitos da portaria ADAGRO nº 015 de 25/04/2023 - DOE nº 075 de 25/04/2023, para o período de 25/04/2023 a 15/12/2023. Saiu uma errata na publicação do DOE nº 125 de 06/07/2023, corrigindo o período para </t>
    </r>
    <r>
      <rPr>
        <b/>
        <u/>
        <sz val="7"/>
        <color rgb="FF000000"/>
        <rFont val="Arial"/>
        <family val="2"/>
      </rPr>
      <t>25/04/2023 a 05/12/2023;</t>
    </r>
  </si>
  <si>
    <r>
      <t xml:space="preserve">Decreto nº </t>
    </r>
    <r>
      <rPr>
        <b/>
        <sz val="8"/>
        <color theme="1"/>
        <rFont val="Arial"/>
        <family val="2"/>
      </rPr>
      <t>55.746</t>
    </r>
    <r>
      <rPr>
        <sz val="8"/>
        <color theme="1"/>
        <rFont val="Arial"/>
        <family val="2"/>
      </rPr>
      <t xml:space="preserve"> de </t>
    </r>
    <r>
      <rPr>
        <b/>
        <sz val="8"/>
        <color theme="1"/>
        <rFont val="Arial"/>
        <family val="2"/>
      </rPr>
      <t>07/11/2023</t>
    </r>
    <r>
      <rPr>
        <sz val="8"/>
        <color theme="1"/>
        <rFont val="Arial"/>
        <family val="2"/>
      </rPr>
      <t xml:space="preserve"> - Aloca e denomina o cargo em comissão de Assessor  de Comunicação passsando para um CAA3 e o Coordenador Estadual de Informática para um CAA-2, com financeiro a partir de </t>
    </r>
    <r>
      <rPr>
        <b/>
        <u/>
        <sz val="8"/>
        <color theme="1"/>
        <rFont val="Arial"/>
        <family val="2"/>
      </rPr>
      <t>01/11/2023 (Alexandre Delgado e Flávia).</t>
    </r>
  </si>
  <si>
    <r>
      <t>SEVERINO RAMOS DE LIMA (</t>
    </r>
    <r>
      <rPr>
        <b/>
        <sz val="8"/>
        <color theme="1"/>
        <rFont val="Arial"/>
        <family val="2"/>
      </rPr>
      <t>PERPART</t>
    </r>
    <r>
      <rPr>
        <sz val="8"/>
        <color theme="1"/>
        <rFont val="Arial"/>
        <family val="2"/>
      </rPr>
      <t>)(***)</t>
    </r>
  </si>
  <si>
    <t>VAGO</t>
  </si>
  <si>
    <t>ASSESSORA</t>
  </si>
  <si>
    <t>FLÁVIA BEZERRA CAVALCANTI</t>
  </si>
  <si>
    <t>Atualizado em 26/12/2023</t>
  </si>
  <si>
    <t>15 A 16/01/2024</t>
  </si>
  <si>
    <t>LAURO TELES DE CARVALHO FILHO (PERPART)</t>
  </si>
  <si>
    <r>
      <t>MÁRIO DIMAS DOS SANTOS (</t>
    </r>
    <r>
      <rPr>
        <b/>
        <sz val="8"/>
        <color theme="1"/>
        <rFont val="Arial"/>
        <family val="2"/>
      </rPr>
      <t>SES</t>
    </r>
    <r>
      <rPr>
        <sz val="8"/>
        <color theme="1"/>
        <rFont val="Arial"/>
        <family val="2"/>
      </rPr>
      <t>)(***)</t>
    </r>
  </si>
  <si>
    <r>
      <t xml:space="preserve">(***) Pela portaria </t>
    </r>
    <r>
      <rPr>
        <b/>
        <sz val="7"/>
        <color theme="1"/>
        <rFont val="Calibri"/>
        <family val="2"/>
        <scheme val="minor"/>
      </rPr>
      <t>ADAGRO</t>
    </r>
    <r>
      <rPr>
        <sz val="7"/>
        <color theme="1"/>
        <rFont val="Calibri"/>
        <family val="2"/>
        <scheme val="minor"/>
      </rPr>
      <t xml:space="preserve"> nº </t>
    </r>
    <r>
      <rPr>
        <b/>
        <sz val="7"/>
        <color theme="1"/>
        <rFont val="Calibri"/>
        <family val="2"/>
        <scheme val="minor"/>
      </rPr>
      <t>038</t>
    </r>
    <r>
      <rPr>
        <sz val="7"/>
        <color theme="1"/>
        <rFont val="Calibri"/>
        <family val="2"/>
        <scheme val="minor"/>
      </rPr>
      <t xml:space="preserve"> de </t>
    </r>
    <r>
      <rPr>
        <b/>
        <sz val="7"/>
        <color theme="1"/>
        <rFont val="Calibri"/>
        <family val="2"/>
        <scheme val="minor"/>
      </rPr>
      <t>21/11/2023</t>
    </r>
    <r>
      <rPr>
        <sz val="7"/>
        <color theme="1"/>
        <rFont val="Calibri"/>
        <family val="2"/>
        <scheme val="minor"/>
      </rPr>
      <t xml:space="preserve">, foi dispensado a partir de </t>
    </r>
    <r>
      <rPr>
        <b/>
        <u/>
        <sz val="7"/>
        <color theme="1"/>
        <rFont val="Calibri"/>
        <family val="2"/>
        <scheme val="minor"/>
      </rPr>
      <t>13/11/2023</t>
    </r>
    <r>
      <rPr>
        <sz val="7"/>
        <color theme="1"/>
        <rFont val="Calibri"/>
        <family val="2"/>
        <scheme val="minor"/>
      </rPr>
      <t xml:space="preserve">, o servidor EXQ </t>
    </r>
    <r>
      <rPr>
        <b/>
        <u/>
        <sz val="7"/>
        <color theme="1"/>
        <rFont val="Calibri"/>
        <family val="2"/>
        <scheme val="minor"/>
      </rPr>
      <t>Severino Ramos de Lima</t>
    </r>
    <r>
      <rPr>
        <sz val="7"/>
        <color theme="1"/>
        <rFont val="Calibri"/>
        <family val="2"/>
        <scheme val="minor"/>
      </rPr>
      <t xml:space="preserve"> e designado, em mesma data, o servidor EXQ </t>
    </r>
    <r>
      <rPr>
        <b/>
        <sz val="7"/>
        <color theme="1"/>
        <rFont val="Calibri"/>
        <family val="2"/>
        <scheme val="minor"/>
      </rPr>
      <t>Mário Dimas dos Santos</t>
    </r>
    <r>
      <rPr>
        <sz val="7"/>
        <color theme="1"/>
        <rFont val="Calibri"/>
        <family val="2"/>
        <scheme val="minor"/>
      </rPr>
      <t xml:space="preserve">. Os efeitos financeiros de Mário, só em </t>
    </r>
    <r>
      <rPr>
        <b/>
        <sz val="7"/>
        <color theme="1"/>
        <rFont val="Calibri"/>
        <family val="2"/>
        <scheme val="minor"/>
      </rPr>
      <t>Dez/2023</t>
    </r>
    <r>
      <rPr>
        <sz val="7"/>
        <color theme="1"/>
        <rFont val="Calibri"/>
        <family val="2"/>
        <scheme val="minor"/>
      </rPr>
      <t>.</t>
    </r>
  </si>
  <si>
    <r>
      <t xml:space="preserve">REF. </t>
    </r>
    <r>
      <rPr>
        <b/>
        <u/>
        <sz val="8"/>
        <color theme="1"/>
        <rFont val="Calibri"/>
        <family val="2"/>
        <scheme val="minor"/>
      </rPr>
      <t>DEZEMBRO/2023</t>
    </r>
  </si>
  <si>
    <t>CADASTRO-GRH-DGAF, 15 A 16/01/2024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</si>
</sst>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[$R$ -416]#,##0.00"/>
  </numFmts>
  <fonts count="4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trike/>
      <sz val="11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4"/>
      <color rgb="FFFFFFFF"/>
      <name val="Calibri"/>
      <family val="2"/>
    </font>
    <font>
      <sz val="11"/>
      <color theme="1"/>
      <name val="Calibri"/>
      <family val="2"/>
    </font>
    <font>
      <u/>
      <sz val="11"/>
      <color rgb="FF000000"/>
      <name val="Arial"/>
      <family val="2"/>
    </font>
    <font>
      <sz val="8"/>
      <color theme="1"/>
      <name val="Calibri"/>
      <family val="2"/>
    </font>
    <font>
      <b/>
      <sz val="8"/>
      <color rgb="FFFFFFFF"/>
      <name val="Arial"/>
      <family val="2"/>
    </font>
    <font>
      <sz val="8"/>
      <name val="Calibri"/>
      <family val="2"/>
      <scheme val="minor"/>
    </font>
    <font>
      <strike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7"/>
      <color theme="1"/>
      <name val="Calibri"/>
      <family val="2"/>
      <scheme val="minor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u/>
      <sz val="7"/>
      <color rgb="FF000000"/>
      <name val="Arial"/>
      <family val="2"/>
    </font>
    <font>
      <sz val="6"/>
      <color theme="1"/>
      <name val="Calibri"/>
      <family val="2"/>
    </font>
    <font>
      <sz val="6"/>
      <name val="Calibri"/>
      <family val="2"/>
      <scheme val="minor"/>
    </font>
    <font>
      <b/>
      <sz val="8"/>
      <color rgb="FF000000"/>
      <name val="Arial"/>
      <family val="2"/>
    </font>
    <font>
      <sz val="6"/>
      <name val="Arial"/>
      <family val="2"/>
    </font>
    <font>
      <b/>
      <sz val="6"/>
      <color rgb="FFFFFFFF"/>
      <name val="Arial"/>
      <family val="2"/>
    </font>
    <font>
      <b/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 tint="-0.2499465926084170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7">
    <xf numFmtId="0" fontId="0" fillId="0" borderId="0" xfId="0"/>
    <xf numFmtId="14" fontId="4" fillId="3" borderId="4" xfId="1" applyNumberFormat="1" applyFont="1" applyFill="1" applyBorder="1" applyAlignment="1">
      <alignment vertical="center" wrapText="1"/>
    </xf>
    <xf numFmtId="4" fontId="3" fillId="4" borderId="0" xfId="1" applyNumberFormat="1" applyFont="1" applyFill="1" applyAlignment="1">
      <alignment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right" vertical="center" wrapText="1"/>
    </xf>
    <xf numFmtId="164" fontId="5" fillId="5" borderId="4" xfId="1" applyNumberFormat="1" applyFont="1" applyFill="1" applyBorder="1" applyAlignment="1">
      <alignment horizontal="right" vertical="center" wrapText="1"/>
    </xf>
    <xf numFmtId="4" fontId="3" fillId="0" borderId="0" xfId="1" applyNumberFormat="1" applyFont="1" applyAlignment="1">
      <alignment vertical="center" wrapText="1"/>
    </xf>
    <xf numFmtId="0" fontId="1" fillId="0" borderId="1" xfId="1" applyBorder="1"/>
    <xf numFmtId="4" fontId="6" fillId="2" borderId="4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vertical="center" wrapText="1"/>
    </xf>
    <xf numFmtId="164" fontId="5" fillId="5" borderId="4" xfId="1" applyNumberFormat="1" applyFont="1" applyFill="1" applyBorder="1" applyAlignment="1">
      <alignment vertical="center" wrapText="1"/>
    </xf>
    <xf numFmtId="3" fontId="5" fillId="5" borderId="4" xfId="1" applyNumberFormat="1" applyFont="1" applyFill="1" applyBorder="1" applyAlignment="1">
      <alignment horizontal="center" vertical="center" wrapText="1"/>
    </xf>
    <xf numFmtId="0" fontId="3" fillId="5" borderId="4" xfId="1" applyFont="1" applyFill="1" applyBorder="1" applyAlignment="1">
      <alignment vertical="center" wrapText="1"/>
    </xf>
    <xf numFmtId="164" fontId="1" fillId="5" borderId="4" xfId="1" applyNumberForma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164" fontId="3" fillId="5" borderId="4" xfId="1" applyNumberFormat="1" applyFont="1" applyFill="1" applyBorder="1" applyAlignment="1">
      <alignment vertical="center" wrapText="1"/>
    </xf>
    <xf numFmtId="4" fontId="5" fillId="5" borderId="4" xfId="1" applyNumberFormat="1" applyFont="1" applyFill="1" applyBorder="1" applyAlignment="1">
      <alignment vertical="center" wrapText="1"/>
    </xf>
    <xf numFmtId="4" fontId="3" fillId="5" borderId="4" xfId="1" applyNumberFormat="1" applyFont="1" applyFill="1" applyBorder="1" applyAlignment="1">
      <alignment vertical="center" wrapText="1"/>
    </xf>
    <xf numFmtId="164" fontId="6" fillId="2" borderId="2" xfId="1" applyNumberFormat="1" applyFont="1" applyFill="1" applyBorder="1" applyAlignment="1">
      <alignment horizontal="right" vertical="center" wrapText="1"/>
    </xf>
    <xf numFmtId="164" fontId="3" fillId="0" borderId="0" xfId="1" applyNumberFormat="1" applyFont="1" applyAlignment="1">
      <alignment vertical="center" wrapText="1"/>
    </xf>
    <xf numFmtId="0" fontId="3" fillId="4" borderId="0" xfId="1" applyFont="1" applyFill="1" applyAlignment="1">
      <alignment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 wrapText="1"/>
    </xf>
    <xf numFmtId="164" fontId="5" fillId="5" borderId="4" xfId="1" applyNumberFormat="1" applyFont="1" applyFill="1" applyBorder="1" applyAlignment="1">
      <alignment horizontal="center" vertical="center" wrapText="1"/>
    </xf>
    <xf numFmtId="164" fontId="6" fillId="2" borderId="4" xfId="1" applyNumberFormat="1" applyFont="1" applyFill="1" applyBorder="1" applyAlignment="1">
      <alignment horizontal="right" vertical="center" wrapText="1"/>
    </xf>
    <xf numFmtId="164" fontId="6" fillId="2" borderId="4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0" fontId="8" fillId="4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5" fillId="4" borderId="4" xfId="1" applyFont="1" applyFill="1" applyBorder="1" applyAlignment="1">
      <alignment vertical="center" wrapText="1"/>
    </xf>
    <xf numFmtId="0" fontId="2" fillId="0" borderId="0" xfId="1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164" fontId="5" fillId="6" borderId="4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Border="1" applyAlignment="1">
      <alignment horizontal="left"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5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16" fillId="0" borderId="0" xfId="0" applyFont="1"/>
    <xf numFmtId="8" fontId="2" fillId="0" borderId="0" xfId="1" applyNumberFormat="1" applyFont="1" applyAlignment="1">
      <alignment horizontal="right" vertical="center" wrapText="1"/>
    </xf>
    <xf numFmtId="0" fontId="5" fillId="5" borderId="2" xfId="1" applyFont="1" applyFill="1" applyBorder="1" applyAlignment="1">
      <alignment horizontal="center" vertical="center" wrapText="1"/>
    </xf>
    <xf numFmtId="0" fontId="1" fillId="0" borderId="1" xfId="0" applyFont="1" applyBorder="1"/>
    <xf numFmtId="164" fontId="5" fillId="0" borderId="5" xfId="1" applyNumberFormat="1" applyFont="1" applyBorder="1" applyAlignment="1">
      <alignment horizontal="right" vertical="center" wrapText="1"/>
    </xf>
    <xf numFmtId="164" fontId="1" fillId="7" borderId="4" xfId="1" applyNumberFormat="1" applyFill="1" applyBorder="1" applyAlignment="1">
      <alignment horizontal="right" vertical="center" wrapText="1"/>
    </xf>
    <xf numFmtId="0" fontId="3" fillId="2" borderId="11" xfId="1" applyFont="1" applyFill="1" applyBorder="1" applyAlignment="1">
      <alignment vertical="center" wrapText="1"/>
    </xf>
    <xf numFmtId="0" fontId="10" fillId="0" borderId="4" xfId="1" applyFont="1" applyBorder="1" applyAlignment="1">
      <alignment vertical="center" wrapText="1"/>
    </xf>
    <xf numFmtId="164" fontId="5" fillId="8" borderId="5" xfId="1" applyNumberFormat="1" applyFont="1" applyFill="1" applyBorder="1" applyAlignment="1">
      <alignment horizontal="right" vertical="center" wrapText="1"/>
    </xf>
    <xf numFmtId="0" fontId="17" fillId="0" borderId="0" xfId="0" applyFont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/>
    <xf numFmtId="14" fontId="4" fillId="3" borderId="4" xfId="1" applyNumberFormat="1" applyFont="1" applyFill="1" applyBorder="1" applyAlignment="1">
      <alignment horizontal="left" vertical="center" wrapText="1"/>
    </xf>
    <xf numFmtId="164" fontId="25" fillId="5" borderId="4" xfId="1" applyNumberFormat="1" applyFont="1" applyFill="1" applyBorder="1" applyAlignment="1">
      <alignment vertical="center" wrapText="1"/>
    </xf>
    <xf numFmtId="164" fontId="9" fillId="0" borderId="4" xfId="1" applyNumberFormat="1" applyFont="1" applyBorder="1" applyAlignment="1">
      <alignment horizontal="center" vertical="center" wrapText="1"/>
    </xf>
    <xf numFmtId="0" fontId="26" fillId="2" borderId="6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8" fillId="0" borderId="1" xfId="1" applyFont="1" applyBorder="1"/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8" fillId="0" borderId="1" xfId="0" applyFont="1" applyBorder="1"/>
    <xf numFmtId="164" fontId="10" fillId="0" borderId="5" xfId="1" applyNumberFormat="1" applyFont="1" applyBorder="1" applyAlignment="1">
      <alignment horizontal="right" vertical="center" wrapText="1"/>
    </xf>
    <xf numFmtId="164" fontId="8" fillId="7" borderId="4" xfId="1" applyNumberFormat="1" applyFont="1" applyFill="1" applyBorder="1" applyAlignment="1">
      <alignment horizontal="right" vertical="center" wrapText="1"/>
    </xf>
    <xf numFmtId="4" fontId="26" fillId="2" borderId="4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0" fontId="25" fillId="2" borderId="11" xfId="1" applyFont="1" applyFill="1" applyBorder="1" applyAlignment="1">
      <alignment vertical="center" wrapText="1"/>
    </xf>
    <xf numFmtId="164" fontId="10" fillId="5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center" wrapText="1"/>
    </xf>
    <xf numFmtId="3" fontId="10" fillId="5" borderId="4" xfId="1" applyNumberFormat="1" applyFont="1" applyFill="1" applyBorder="1" applyAlignment="1">
      <alignment horizontal="center" vertical="center" wrapText="1"/>
    </xf>
    <xf numFmtId="0" fontId="25" fillId="5" borderId="4" xfId="1" applyFont="1" applyFill="1" applyBorder="1" applyAlignment="1">
      <alignment vertical="center" wrapText="1"/>
    </xf>
    <xf numFmtId="164" fontId="8" fillId="5" borderId="4" xfId="1" applyNumberFormat="1" applyFont="1" applyFill="1" applyBorder="1" applyAlignment="1">
      <alignment horizontal="right" vertical="center" wrapText="1"/>
    </xf>
    <xf numFmtId="164" fontId="10" fillId="8" borderId="5" xfId="1" applyNumberFormat="1" applyFont="1" applyFill="1" applyBorder="1" applyAlignment="1">
      <alignment horizontal="right" vertical="center" wrapText="1"/>
    </xf>
    <xf numFmtId="4" fontId="10" fillId="5" borderId="4" xfId="1" applyNumberFormat="1" applyFont="1" applyFill="1" applyBorder="1" applyAlignment="1">
      <alignment vertical="center" wrapText="1"/>
    </xf>
    <xf numFmtId="4" fontId="25" fillId="5" borderId="4" xfId="1" applyNumberFormat="1" applyFont="1" applyFill="1" applyBorder="1" applyAlignment="1">
      <alignment vertical="center" wrapText="1"/>
    </xf>
    <xf numFmtId="0" fontId="25" fillId="2" borderId="3" xfId="1" applyFont="1" applyFill="1" applyBorder="1" applyAlignment="1">
      <alignment vertical="center" wrapText="1"/>
    </xf>
    <xf numFmtId="164" fontId="26" fillId="2" borderId="2" xfId="1" applyNumberFormat="1" applyFont="1" applyFill="1" applyBorder="1" applyAlignment="1">
      <alignment horizontal="right" vertical="center" wrapText="1"/>
    </xf>
    <xf numFmtId="0" fontId="25" fillId="0" borderId="0" xfId="1" applyFont="1" applyAlignment="1">
      <alignment vertical="center" wrapText="1"/>
    </xf>
    <xf numFmtId="4" fontId="25" fillId="0" borderId="0" xfId="1" applyNumberFormat="1" applyFont="1" applyAlignment="1">
      <alignment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vertical="center" wrapText="1"/>
    </xf>
    <xf numFmtId="164" fontId="10" fillId="8" borderId="4" xfId="1" applyNumberFormat="1" applyFont="1" applyFill="1" applyBorder="1" applyAlignment="1">
      <alignment horizontal="right" vertical="center" wrapText="1"/>
    </xf>
    <xf numFmtId="0" fontId="25" fillId="2" borderId="4" xfId="1" applyFont="1" applyFill="1" applyBorder="1" applyAlignment="1">
      <alignment vertical="center" wrapText="1"/>
    </xf>
    <xf numFmtId="164" fontId="10" fillId="5" borderId="4" xfId="1" applyNumberFormat="1" applyFont="1" applyFill="1" applyBorder="1" applyAlignment="1">
      <alignment horizontal="center" vertical="center" wrapText="1"/>
    </xf>
    <xf numFmtId="164" fontId="10" fillId="5" borderId="4" xfId="1" applyNumberFormat="1" applyFont="1" applyFill="1" applyBorder="1" applyAlignment="1">
      <alignment horizontal="right" vertical="center" wrapText="1"/>
    </xf>
    <xf numFmtId="164" fontId="26" fillId="2" borderId="4" xfId="1" applyNumberFormat="1" applyFont="1" applyFill="1" applyBorder="1" applyAlignment="1">
      <alignment horizontal="right" vertical="center" wrapText="1"/>
    </xf>
    <xf numFmtId="164" fontId="25" fillId="0" borderId="0" xfId="1" applyNumberFormat="1" applyFont="1" applyAlignment="1">
      <alignment vertical="center" wrapText="1"/>
    </xf>
    <xf numFmtId="4" fontId="25" fillId="4" borderId="0" xfId="1" applyNumberFormat="1" applyFont="1" applyFill="1" applyAlignment="1">
      <alignment vertical="center" wrapText="1"/>
    </xf>
    <xf numFmtId="164" fontId="26" fillId="2" borderId="4" xfId="1" applyNumberFormat="1" applyFont="1" applyFill="1" applyBorder="1" applyAlignment="1">
      <alignment horizontal="center" vertical="center" wrapText="1"/>
    </xf>
    <xf numFmtId="164" fontId="11" fillId="0" borderId="4" xfId="1" applyNumberFormat="1" applyFont="1" applyBorder="1" applyAlignment="1">
      <alignment horizontal="left" vertical="center" wrapText="1"/>
    </xf>
    <xf numFmtId="164" fontId="11" fillId="0" borderId="4" xfId="1" applyNumberFormat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/>
    </xf>
    <xf numFmtId="164" fontId="10" fillId="0" borderId="4" xfId="1" applyNumberFormat="1" applyFont="1" applyBorder="1" applyAlignment="1">
      <alignment horizontal="right" vertical="center" wrapText="1"/>
    </xf>
    <xf numFmtId="0" fontId="27" fillId="0" borderId="0" xfId="0" applyFont="1"/>
    <xf numFmtId="164" fontId="10" fillId="0" borderId="4" xfId="1" applyNumberFormat="1" applyFont="1" applyBorder="1" applyAlignment="1">
      <alignment vertical="center" wrapText="1"/>
    </xf>
    <xf numFmtId="164" fontId="10" fillId="0" borderId="4" xfId="1" applyNumberFormat="1" applyFont="1" applyBorder="1" applyAlignment="1">
      <alignment horizontal="center" vertical="center" wrapText="1"/>
    </xf>
    <xf numFmtId="164" fontId="12" fillId="0" borderId="4" xfId="1" applyNumberFormat="1" applyFont="1" applyBorder="1" applyAlignment="1">
      <alignment horizontal="center" vertical="center" wrapText="1"/>
    </xf>
    <xf numFmtId="4" fontId="10" fillId="5" borderId="4" xfId="1" applyNumberFormat="1" applyFont="1" applyFill="1" applyBorder="1" applyAlignment="1">
      <alignment horizontal="center" vertical="center" wrapText="1"/>
    </xf>
    <xf numFmtId="0" fontId="25" fillId="4" borderId="0" xfId="1" applyFont="1" applyFill="1" applyAlignment="1">
      <alignment vertical="center" wrapText="1"/>
    </xf>
    <xf numFmtId="0" fontId="8" fillId="0" borderId="0" xfId="1" applyFont="1" applyAlignment="1">
      <alignment vertical="center" wrapText="1"/>
    </xf>
    <xf numFmtId="0" fontId="11" fillId="0" borderId="0" xfId="1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164" fontId="10" fillId="0" borderId="4" xfId="1" applyNumberFormat="1" applyFont="1" applyBorder="1" applyAlignment="1">
      <alignment horizontal="left" vertical="center" wrapText="1"/>
    </xf>
    <xf numFmtId="0" fontId="10" fillId="0" borderId="0" xfId="0" applyFont="1"/>
    <xf numFmtId="0" fontId="30" fillId="0" borderId="0" xfId="0" applyFont="1"/>
    <xf numFmtId="0" fontId="31" fillId="0" borderId="0" xfId="0" applyFont="1"/>
    <xf numFmtId="0" fontId="34" fillId="4" borderId="0" xfId="1" applyFont="1" applyFill="1" applyAlignment="1">
      <alignment vertical="center" wrapText="1"/>
    </xf>
    <xf numFmtId="0" fontId="37" fillId="0" borderId="0" xfId="1" applyFont="1" applyAlignment="1">
      <alignment vertical="center" wrapText="1"/>
    </xf>
    <xf numFmtId="4" fontId="37" fillId="0" borderId="0" xfId="1" applyNumberFormat="1" applyFont="1" applyAlignment="1">
      <alignment vertical="center" wrapText="1"/>
    </xf>
    <xf numFmtId="0" fontId="37" fillId="4" borderId="0" xfId="1" applyFont="1" applyFill="1" applyAlignment="1">
      <alignment vertical="center" wrapText="1"/>
    </xf>
    <xf numFmtId="0" fontId="38" fillId="0" borderId="0" xfId="0" applyFont="1"/>
    <xf numFmtId="0" fontId="39" fillId="0" borderId="1" xfId="0" applyFont="1" applyBorder="1" applyAlignment="1">
      <alignment horizontal="center" vertical="center"/>
    </xf>
    <xf numFmtId="14" fontId="42" fillId="3" borderId="4" xfId="1" applyNumberFormat="1" applyFont="1" applyFill="1" applyBorder="1" applyAlignment="1">
      <alignment horizontal="right" vertical="center" wrapText="1"/>
    </xf>
    <xf numFmtId="0" fontId="10" fillId="0" borderId="2" xfId="1" applyFont="1" applyBorder="1" applyAlignment="1">
      <alignment vertical="center" wrapText="1"/>
    </xf>
    <xf numFmtId="0" fontId="11" fillId="0" borderId="3" xfId="1" applyFont="1" applyBorder="1"/>
    <xf numFmtId="0" fontId="11" fillId="0" borderId="5" xfId="1" applyFont="1" applyBorder="1"/>
    <xf numFmtId="0" fontId="6" fillId="2" borderId="2" xfId="1" applyFont="1" applyFill="1" applyBorder="1" applyAlignment="1">
      <alignment horizontal="center" vertical="center" wrapText="1"/>
    </xf>
    <xf numFmtId="0" fontId="2" fillId="0" borderId="3" xfId="1" applyFont="1" applyBorder="1"/>
    <xf numFmtId="0" fontId="2" fillId="0" borderId="5" xfId="1" applyFont="1" applyBorder="1"/>
    <xf numFmtId="4" fontId="6" fillId="2" borderId="2" xfId="1" applyNumberFormat="1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wrapText="1"/>
    </xf>
    <xf numFmtId="0" fontId="1" fillId="0" borderId="2" xfId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7" xfId="1" applyFont="1" applyBorder="1" applyAlignment="1">
      <alignment vertical="center" wrapText="1"/>
    </xf>
    <xf numFmtId="0" fontId="2" fillId="0" borderId="8" xfId="1" applyFont="1" applyBorder="1"/>
    <xf numFmtId="0" fontId="2" fillId="0" borderId="9" xfId="1" applyFont="1" applyBorder="1"/>
    <xf numFmtId="0" fontId="7" fillId="0" borderId="1" xfId="1" applyFont="1" applyBorder="1" applyAlignment="1">
      <alignment vertical="center" wrapText="1"/>
    </xf>
    <xf numFmtId="0" fontId="1" fillId="0" borderId="1" xfId="1" applyBorder="1"/>
    <xf numFmtId="4" fontId="6" fillId="2" borderId="10" xfId="1" applyNumberFormat="1" applyFont="1" applyFill="1" applyBorder="1" applyAlignment="1">
      <alignment horizontal="left" vertical="center" wrapText="1"/>
    </xf>
    <xf numFmtId="0" fontId="2" fillId="0" borderId="11" xfId="1" applyFont="1" applyBorder="1"/>
    <xf numFmtId="0" fontId="2" fillId="0" borderId="12" xfId="1" applyFont="1" applyBorder="1"/>
    <xf numFmtId="0" fontId="1" fillId="4" borderId="2" xfId="1" applyFill="1" applyBorder="1" applyAlignment="1">
      <alignment horizontal="left" wrapText="1"/>
    </xf>
    <xf numFmtId="0" fontId="20" fillId="2" borderId="0" xfId="0" applyFont="1" applyFill="1" applyAlignment="1">
      <alignment horizontal="left" vertical="center"/>
    </xf>
    <xf numFmtId="0" fontId="0" fillId="0" borderId="0" xfId="0"/>
    <xf numFmtId="0" fontId="20" fillId="2" borderId="2" xfId="0" applyFont="1" applyFill="1" applyBorder="1" applyAlignment="1">
      <alignment horizontal="left" vertical="center"/>
    </xf>
    <xf numFmtId="0" fontId="21" fillId="0" borderId="3" xfId="0" applyFont="1" applyBorder="1"/>
    <xf numFmtId="0" fontId="5" fillId="3" borderId="2" xfId="1" applyFont="1" applyFill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4" fontId="6" fillId="2" borderId="3" xfId="1" applyNumberFormat="1" applyFont="1" applyFill="1" applyBorder="1" applyAlignment="1">
      <alignment horizontal="left" vertical="center" wrapText="1"/>
    </xf>
    <xf numFmtId="4" fontId="6" fillId="2" borderId="5" xfId="1" applyNumberFormat="1" applyFont="1" applyFill="1" applyBorder="1" applyAlignment="1">
      <alignment horizontal="left" vertical="center" wrapText="1"/>
    </xf>
    <xf numFmtId="0" fontId="10" fillId="4" borderId="3" xfId="1" applyFont="1" applyFill="1" applyBorder="1" applyAlignment="1">
      <alignment horizontal="left" wrapText="1"/>
    </xf>
    <xf numFmtId="0" fontId="10" fillId="4" borderId="5" xfId="1" applyFont="1" applyFill="1" applyBorder="1" applyAlignment="1">
      <alignment horizontal="left" wrapText="1"/>
    </xf>
    <xf numFmtId="0" fontId="1" fillId="0" borderId="0" xfId="1" applyAlignment="1">
      <alignment horizontal="justify" vertical="justify" wrapText="1"/>
    </xf>
    <xf numFmtId="0" fontId="1" fillId="0" borderId="0" xfId="1" applyAlignment="1">
      <alignment horizontal="left" vertical="center" wrapText="1"/>
    </xf>
    <xf numFmtId="0" fontId="7" fillId="0" borderId="18" xfId="1" applyFont="1" applyBorder="1" applyAlignment="1">
      <alignment vertical="center" wrapText="1"/>
    </xf>
    <xf numFmtId="0" fontId="7" fillId="0" borderId="17" xfId="1" applyFont="1" applyBorder="1" applyAlignment="1">
      <alignment vertical="center" wrapText="1"/>
    </xf>
    <xf numFmtId="0" fontId="7" fillId="0" borderId="16" xfId="1" applyFont="1" applyBorder="1" applyAlignment="1">
      <alignment vertical="center" wrapText="1"/>
    </xf>
    <xf numFmtId="4" fontId="6" fillId="2" borderId="15" xfId="1" applyNumberFormat="1" applyFont="1" applyFill="1" applyBorder="1" applyAlignment="1">
      <alignment horizontal="left" vertical="center" wrapText="1"/>
    </xf>
    <xf numFmtId="4" fontId="6" fillId="2" borderId="14" xfId="1" applyNumberFormat="1" applyFont="1" applyFill="1" applyBorder="1" applyAlignment="1">
      <alignment horizontal="left" vertical="center" wrapText="1"/>
    </xf>
    <xf numFmtId="4" fontId="6" fillId="2" borderId="13" xfId="1" applyNumberFormat="1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left" wrapText="1"/>
    </xf>
    <xf numFmtId="0" fontId="1" fillId="4" borderId="5" xfId="1" applyFill="1" applyBorder="1" applyAlignment="1">
      <alignment horizontal="left" wrapText="1"/>
    </xf>
    <xf numFmtId="0" fontId="10" fillId="0" borderId="3" xfId="1" applyFont="1" applyBorder="1" applyAlignment="1">
      <alignment vertical="center" wrapText="1"/>
    </xf>
    <xf numFmtId="0" fontId="10" fillId="0" borderId="5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5" xfId="1" applyFont="1" applyBorder="1" applyAlignment="1">
      <alignment vertical="center" wrapText="1"/>
    </xf>
    <xf numFmtId="0" fontId="7" fillId="0" borderId="21" xfId="1" applyFont="1" applyBorder="1" applyAlignment="1">
      <alignment vertical="center" wrapText="1"/>
    </xf>
    <xf numFmtId="0" fontId="7" fillId="0" borderId="20" xfId="1" applyFont="1" applyBorder="1" applyAlignment="1">
      <alignment vertical="center" wrapText="1"/>
    </xf>
    <xf numFmtId="0" fontId="7" fillId="0" borderId="19" xfId="1" applyFont="1" applyBorder="1" applyAlignment="1">
      <alignment vertical="center" wrapText="1"/>
    </xf>
    <xf numFmtId="0" fontId="26" fillId="2" borderId="2" xfId="1" applyFont="1" applyFill="1" applyBorder="1" applyAlignment="1">
      <alignment horizontal="center" vertical="center" wrapText="1"/>
    </xf>
    <xf numFmtId="4" fontId="26" fillId="2" borderId="2" xfId="1" applyNumberFormat="1" applyFont="1" applyFill="1" applyBorder="1" applyAlignment="1">
      <alignment horizontal="left" vertical="center" wrapText="1"/>
    </xf>
    <xf numFmtId="4" fontId="26" fillId="2" borderId="3" xfId="1" applyNumberFormat="1" applyFont="1" applyFill="1" applyBorder="1" applyAlignment="1">
      <alignment horizontal="left" vertical="center" wrapText="1"/>
    </xf>
    <xf numFmtId="4" fontId="26" fillId="2" borderId="5" xfId="1" applyNumberFormat="1" applyFont="1" applyFill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0" fontId="8" fillId="0" borderId="3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28" fillId="0" borderId="2" xfId="1" applyFont="1" applyBorder="1" applyAlignment="1">
      <alignment vertical="center" wrapText="1"/>
    </xf>
    <xf numFmtId="0" fontId="28" fillId="0" borderId="3" xfId="1" applyFont="1" applyBorder="1" applyAlignment="1">
      <alignment vertical="center" wrapText="1"/>
    </xf>
    <xf numFmtId="0" fontId="28" fillId="0" borderId="5" xfId="1" applyFont="1" applyBorder="1" applyAlignment="1">
      <alignment vertical="center" wrapText="1"/>
    </xf>
    <xf numFmtId="0" fontId="28" fillId="0" borderId="21" xfId="1" applyFont="1" applyBorder="1" applyAlignment="1">
      <alignment vertical="center" wrapText="1"/>
    </xf>
    <xf numFmtId="0" fontId="28" fillId="0" borderId="20" xfId="1" applyFont="1" applyBorder="1" applyAlignment="1">
      <alignment vertical="center" wrapText="1"/>
    </xf>
    <xf numFmtId="0" fontId="28" fillId="0" borderId="19" xfId="1" applyFont="1" applyBorder="1" applyAlignment="1">
      <alignment vertical="center" wrapText="1"/>
    </xf>
    <xf numFmtId="0" fontId="28" fillId="0" borderId="18" xfId="1" applyFont="1" applyBorder="1" applyAlignment="1">
      <alignment vertical="center" wrapText="1"/>
    </xf>
    <xf numFmtId="0" fontId="28" fillId="0" borderId="17" xfId="1" applyFont="1" applyBorder="1" applyAlignment="1">
      <alignment vertical="center" wrapText="1"/>
    </xf>
    <xf numFmtId="0" fontId="28" fillId="0" borderId="16" xfId="1" applyFont="1" applyBorder="1" applyAlignment="1">
      <alignment vertical="center" wrapText="1"/>
    </xf>
    <xf numFmtId="4" fontId="26" fillId="2" borderId="15" xfId="1" applyNumberFormat="1" applyFont="1" applyFill="1" applyBorder="1" applyAlignment="1">
      <alignment horizontal="left" vertical="center" wrapText="1"/>
    </xf>
    <xf numFmtId="4" fontId="26" fillId="2" borderId="14" xfId="1" applyNumberFormat="1" applyFont="1" applyFill="1" applyBorder="1" applyAlignment="1">
      <alignment horizontal="left" vertical="center" wrapText="1"/>
    </xf>
    <xf numFmtId="4" fontId="26" fillId="2" borderId="13" xfId="1" applyNumberFormat="1" applyFont="1" applyFill="1" applyBorder="1" applyAlignment="1">
      <alignment horizontal="left" vertical="center" wrapText="1"/>
    </xf>
    <xf numFmtId="0" fontId="8" fillId="4" borderId="2" xfId="1" applyFont="1" applyFill="1" applyBorder="1" applyAlignment="1">
      <alignment horizontal="left" wrapText="1"/>
    </xf>
    <xf numFmtId="0" fontId="8" fillId="4" borderId="3" xfId="1" applyFont="1" applyFill="1" applyBorder="1" applyAlignment="1">
      <alignment horizontal="left" wrapText="1"/>
    </xf>
    <xf numFmtId="0" fontId="8" fillId="4" borderId="5" xfId="1" applyFont="1" applyFill="1" applyBorder="1" applyAlignment="1">
      <alignment horizontal="left" wrapText="1"/>
    </xf>
    <xf numFmtId="0" fontId="8" fillId="0" borderId="0" xfId="1" applyFont="1" applyAlignment="1">
      <alignment horizontal="left" vertical="center" wrapText="1"/>
    </xf>
    <xf numFmtId="0" fontId="20" fillId="2" borderId="2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10" fillId="0" borderId="2" xfId="1" applyFont="1" applyBorder="1" applyAlignment="1">
      <alignment horizontal="left" wrapText="1"/>
    </xf>
    <xf numFmtId="0" fontId="10" fillId="0" borderId="3" xfId="1" applyFont="1" applyBorder="1" applyAlignment="1">
      <alignment horizontal="left" wrapText="1"/>
    </xf>
    <xf numFmtId="0" fontId="10" fillId="0" borderId="5" xfId="1" applyFont="1" applyBorder="1" applyAlignment="1">
      <alignment horizontal="left" wrapText="1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3" borderId="2" xfId="1" applyFont="1" applyFill="1" applyBorder="1" applyAlignment="1">
      <alignment vertical="center" wrapText="1"/>
    </xf>
    <xf numFmtId="0" fontId="41" fillId="2" borderId="2" xfId="1" applyFont="1" applyFill="1" applyBorder="1" applyAlignment="1">
      <alignment horizontal="center" vertical="center" wrapText="1"/>
    </xf>
    <xf numFmtId="0" fontId="40" fillId="0" borderId="3" xfId="1" applyFont="1" applyBorder="1"/>
    <xf numFmtId="0" fontId="40" fillId="0" borderId="5" xfId="1" applyFont="1" applyBorder="1"/>
    <xf numFmtId="0" fontId="35" fillId="0" borderId="0" xfId="1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628D85-5818-4420-A810-FED3491C0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8001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0</xdr:col>
      <xdr:colOff>1066800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55C6E65-0576-4099-8F31-998C4A42D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"/>
          <a:ext cx="1057274" cy="5333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0</xdr:col>
      <xdr:colOff>1066800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4A92B5-E56E-4E2F-BF12-A19AFB4F5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"/>
          <a:ext cx="1057274" cy="5333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</xdr:rowOff>
    </xdr:from>
    <xdr:to>
      <xdr:col>0</xdr:col>
      <xdr:colOff>1066800</xdr:colOff>
      <xdr:row>2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7E11D4D-FACA-4E21-AE79-D1DEA9675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2"/>
          <a:ext cx="1057274" cy="542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0F10862-5D1B-4AC5-B1CA-AE8D09D7F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9084C51-3AF7-4DA1-8BE1-5AB09F27A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800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2</xdr:row>
      <xdr:rowOff>257175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DC7C5D8-3719-47C7-B588-BE5FA5062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3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0E323AB-2097-47F5-85B3-0A2EDDF3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800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1409700</xdr:colOff>
      <xdr:row>3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B3C54BE-9D80-43CE-8283-70A71C688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09700" cy="800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1304925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32D9B2-B931-41DE-B4A6-8CC7705DD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4925" cy="542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0</xdr:rowOff>
    </xdr:from>
    <xdr:to>
      <xdr:col>0</xdr:col>
      <xdr:colOff>1228726</xdr:colOff>
      <xdr:row>2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A2777E-CD6C-4517-89AF-A2A75E10C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0"/>
          <a:ext cx="1219200" cy="561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1</xdr:rowOff>
    </xdr:from>
    <xdr:to>
      <xdr:col>0</xdr:col>
      <xdr:colOff>1228726</xdr:colOff>
      <xdr:row>2</xdr:row>
      <xdr:rowOff>19051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03FAA4-EA4B-4873-B6A8-21D459FB6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1"/>
          <a:ext cx="121920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22E51-B16F-4696-AA95-6F6811B42331}">
  <dimension ref="A1:AA175"/>
  <sheetViews>
    <sheetView workbookViewId="0">
      <selection activeCell="B10" sqref="B10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70.5703125" customWidth="1"/>
    <col min="7" max="7" width="15.7109375" customWidth="1"/>
    <col min="8" max="8" width="13.5703125" customWidth="1"/>
    <col min="9" max="9" width="15.28515625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351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1" t="s">
        <v>355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</row>
    <row r="7" spans="1:27" x14ac:dyDescent="0.25">
      <c r="A7" s="11" t="s">
        <v>22</v>
      </c>
      <c r="B7" s="5" t="s">
        <v>0</v>
      </c>
      <c r="C7" s="6" t="s">
        <v>23</v>
      </c>
      <c r="D7" s="6" t="s">
        <v>24</v>
      </c>
      <c r="E7" s="7">
        <v>1</v>
      </c>
      <c r="F7" s="11" t="s">
        <v>25</v>
      </c>
      <c r="G7" s="8">
        <v>0</v>
      </c>
      <c r="H7" s="8">
        <v>8903.2999999999993</v>
      </c>
      <c r="I7" s="8">
        <v>9249.0300000000007</v>
      </c>
    </row>
    <row r="8" spans="1:27" x14ac:dyDescent="0.25">
      <c r="A8" s="11" t="s">
        <v>26</v>
      </c>
      <c r="B8" s="5" t="s">
        <v>2</v>
      </c>
      <c r="C8" s="6" t="s">
        <v>27</v>
      </c>
      <c r="D8" s="6" t="s">
        <v>28</v>
      </c>
      <c r="E8" s="7">
        <v>1</v>
      </c>
      <c r="F8" s="11"/>
      <c r="G8" s="8"/>
      <c r="H8" s="8"/>
      <c r="I8" s="8"/>
    </row>
    <row r="9" spans="1:27" x14ac:dyDescent="0.25">
      <c r="A9" s="11" t="s">
        <v>29</v>
      </c>
      <c r="B9" s="5" t="s">
        <v>9</v>
      </c>
      <c r="C9" s="6" t="s">
        <v>30</v>
      </c>
      <c r="D9" s="6" t="s">
        <v>28</v>
      </c>
      <c r="E9" s="7">
        <v>1</v>
      </c>
      <c r="F9" s="11"/>
      <c r="G9" s="8"/>
      <c r="H9" s="8"/>
      <c r="I9" s="8"/>
    </row>
    <row r="10" spans="1:27" x14ac:dyDescent="0.25">
      <c r="A10" s="11" t="s">
        <v>31</v>
      </c>
      <c r="B10" s="5" t="s">
        <v>32</v>
      </c>
      <c r="C10" s="6" t="s">
        <v>33</v>
      </c>
      <c r="D10" s="6" t="s">
        <v>28</v>
      </c>
      <c r="E10" s="7">
        <v>1</v>
      </c>
      <c r="F10" s="11"/>
      <c r="G10" s="8"/>
      <c r="H10" s="8"/>
      <c r="I10" s="8"/>
    </row>
    <row r="11" spans="1:27" x14ac:dyDescent="0.25">
      <c r="A11" s="11" t="s">
        <v>34</v>
      </c>
      <c r="B11" s="5" t="s">
        <v>8</v>
      </c>
      <c r="C11" s="6" t="s">
        <v>35</v>
      </c>
      <c r="D11" s="6" t="s">
        <v>28</v>
      </c>
      <c r="E11" s="7">
        <v>1</v>
      </c>
      <c r="F11" s="11"/>
      <c r="G11" s="8"/>
      <c r="H11" s="8"/>
      <c r="I11" s="8"/>
    </row>
    <row r="12" spans="1:27" x14ac:dyDescent="0.25">
      <c r="A12" s="11" t="s">
        <v>36</v>
      </c>
      <c r="B12" s="5" t="s">
        <v>8</v>
      </c>
      <c r="C12" s="6" t="s">
        <v>37</v>
      </c>
      <c r="D12" s="6" t="s">
        <v>28</v>
      </c>
      <c r="E12" s="7">
        <v>1</v>
      </c>
      <c r="F12" s="11"/>
      <c r="G12" s="8"/>
      <c r="H12" s="8"/>
      <c r="I12" s="8"/>
    </row>
    <row r="13" spans="1:27" x14ac:dyDescent="0.25">
      <c r="A13" s="11" t="s">
        <v>38</v>
      </c>
      <c r="B13" s="6" t="s">
        <v>2</v>
      </c>
      <c r="C13" s="6" t="s">
        <v>39</v>
      </c>
      <c r="D13" s="6" t="s">
        <v>28</v>
      </c>
      <c r="E13" s="7">
        <v>1</v>
      </c>
      <c r="F13" s="11"/>
      <c r="G13" s="8"/>
      <c r="H13" s="8"/>
      <c r="I13" s="8"/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14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SUMIFS($E$10:$E$16,$B$10:$B$16,"DAS",$D$10:$D$16,"&lt;&gt;VAGO")</f>
        <v>0</v>
      </c>
      <c r="D15" s="16">
        <f ca="1">SUMIFS($E$10:$E$16,$B$10:$B$16,"DAS",$D$10:$D$16,"VAGO")</f>
        <v>0</v>
      </c>
      <c r="E15" s="16">
        <f t="shared" ref="E15:E25" ca="1" si="0">C15+D15</f>
        <v>0</v>
      </c>
      <c r="F15" s="17"/>
      <c r="G15" s="18">
        <f ca="1">SUMIF($B$10:$B$16,"DAS",$G$10:$G$16)</f>
        <v>0</v>
      </c>
      <c r="H15" s="18">
        <f ca="1">SUMIF($B$10:$B$16,"DAS",$H$10:$H$16)</f>
        <v>0</v>
      </c>
      <c r="I15" s="18">
        <f ca="1">SUMIF($B$10:$B$16,"DAS",$I$10:$I$16)</f>
        <v>0</v>
      </c>
    </row>
    <row r="16" spans="1:27" x14ac:dyDescent="0.25">
      <c r="A16" s="15" t="s">
        <v>50</v>
      </c>
      <c r="B16" s="7" t="s">
        <v>0</v>
      </c>
      <c r="C16" s="16">
        <f ca="1">SUMIFS($E$10:$E$16,$B$10:$B$16,"DAS-1",$D$10:$D$16,"&lt;&gt;VAGO")</f>
        <v>1</v>
      </c>
      <c r="D16" s="16">
        <f ca="1">SUMIFS($E$10:$E$16,$B$10:$B$16,"DAS-1",$D$10:$D$16,"VAGO")</f>
        <v>0</v>
      </c>
      <c r="E16" s="16">
        <f t="shared" ca="1" si="0"/>
        <v>1</v>
      </c>
      <c r="F16" s="20"/>
      <c r="G16" s="18">
        <f ca="1">SUMIF($B$10:$B$16,"DAS-1",$G$10:$G$16)</f>
        <v>0</v>
      </c>
      <c r="H16" s="18">
        <f ca="1">SUMIF($B$10:$B$16,"DAS-1",$H$10:$H$16)</f>
        <v>8479.34</v>
      </c>
      <c r="I16" s="18">
        <f ca="1">SUMIF($B$10:$B$16,"DAS-1",$I$10:$I$16)</f>
        <v>7973.3</v>
      </c>
    </row>
    <row r="17" spans="1:9" x14ac:dyDescent="0.25">
      <c r="A17" s="15" t="s">
        <v>51</v>
      </c>
      <c r="B17" s="7" t="s">
        <v>52</v>
      </c>
      <c r="C17" s="16">
        <f>SUMIFS($E$10:$E$16,$B$10:$B$16,"DAS-2",$D$10:$D$16,"&lt;&gt;VAGO")</f>
        <v>0</v>
      </c>
      <c r="D17" s="16">
        <f>SUMIFS($E$10:$E$16,$B$10:$B$16,"DAS-2",$D$10:$D$16,"VAGO")</f>
        <v>0</v>
      </c>
      <c r="E17" s="16">
        <f t="shared" si="0"/>
        <v>0</v>
      </c>
      <c r="F17" s="20"/>
      <c r="G17" s="18">
        <f>SUMIF($B$10:$B$16,"DAS-2",$G$10:$G$16)</f>
        <v>0</v>
      </c>
      <c r="H17" s="18">
        <f>SUMIF($B$10:$B$16,"DAS-2",$H$10:$H$16)</f>
        <v>0</v>
      </c>
      <c r="I17" s="18">
        <f>SUMIF($B$10:$B$16,"DAS-2",$I$10:$I$16)</f>
        <v>0</v>
      </c>
    </row>
    <row r="18" spans="1:9" x14ac:dyDescent="0.25">
      <c r="A18" s="15" t="s">
        <v>53</v>
      </c>
      <c r="B18" s="7" t="s">
        <v>54</v>
      </c>
      <c r="C18" s="16">
        <f>SUMIFS($E$10:$E$16,$B$10:$B$16,"DAS-3",$D$10:$D$16,"&lt;&gt;VAGO")</f>
        <v>0</v>
      </c>
      <c r="D18" s="16">
        <f>SUMIFS($E$10:$E$16,$B$10:$B$16,"DAS-3",$D$10:$D$16,"VAGO")</f>
        <v>0</v>
      </c>
      <c r="E18" s="16">
        <f t="shared" si="0"/>
        <v>0</v>
      </c>
      <c r="F18" s="20"/>
      <c r="G18" s="18">
        <f>SUMIF($B$10:$B$16,"DAS-3",$G$10:$G$16)</f>
        <v>0</v>
      </c>
      <c r="H18" s="18">
        <f>SUMIF($B$10:$B$16,"DAS-3",$H$10:$H$16)</f>
        <v>0</v>
      </c>
      <c r="I18" s="18">
        <f>SUMIF($B$10:$B$16,"DAS-3",$I$10:$I$16)</f>
        <v>0</v>
      </c>
    </row>
    <row r="19" spans="1:9" x14ac:dyDescent="0.25">
      <c r="A19" s="21" t="s">
        <v>55</v>
      </c>
      <c r="B19" s="7" t="s">
        <v>56</v>
      </c>
      <c r="C19" s="16">
        <f>SUMIFS($E$10:$E$16,$B$10:$B$16,"DAS-4",$D$10:$D$16,"&lt;&gt;VAGO")</f>
        <v>0</v>
      </c>
      <c r="D19" s="16">
        <f>SUMIFS($E$10:$E$16,$B$10:$B$16,"DAS-4",$D$10:$D$16,"VAGO")</f>
        <v>0</v>
      </c>
      <c r="E19" s="16">
        <f t="shared" si="0"/>
        <v>0</v>
      </c>
      <c r="F19" s="22"/>
      <c r="G19" s="18">
        <f>SUMIF($B$10:$B$16,"DAS-4",$G$10:$G$16)</f>
        <v>0</v>
      </c>
      <c r="H19" s="18">
        <f>SUMIF($B$10:$B$16,"DAS-4",$H$10:$H$16)</f>
        <v>0</v>
      </c>
      <c r="I19" s="18">
        <f>SUMIF($B$10:$B$16,"DAS-4",$I$10:$I$16)</f>
        <v>0</v>
      </c>
    </row>
    <row r="20" spans="1:9" x14ac:dyDescent="0.25">
      <c r="A20" s="21" t="s">
        <v>57</v>
      </c>
      <c r="B20" s="7" t="s">
        <v>2</v>
      </c>
      <c r="C20" s="16">
        <f>SUMIFS($E$10:$E$16,$B$10:$B$16,"DAS-5",$D$10:$D$16,"&lt;&gt;VAGO")</f>
        <v>1</v>
      </c>
      <c r="D20" s="16">
        <f>SUMIFS($E$10:$E$16,$B$10:$B$16,"DAS-5",$D$10:$D$16,"VAGO")</f>
        <v>0</v>
      </c>
      <c r="E20" s="16">
        <f t="shared" si="0"/>
        <v>1</v>
      </c>
      <c r="F20" s="22"/>
      <c r="G20" s="18">
        <f>SUMIF($B$10:$B$16,"DAS-5",$G$10:$G$16)</f>
        <v>0</v>
      </c>
      <c r="H20" s="18">
        <f>SUMIF($B$10:$B$16,"DAS-5",$H$10:$H$16)</f>
        <v>0</v>
      </c>
      <c r="I20" s="18">
        <f>SUMIF($B$10:$B$16,"DAS-5",$I$10:$I$16)</f>
        <v>0</v>
      </c>
    </row>
    <row r="21" spans="1:9" x14ac:dyDescent="0.25">
      <c r="A21" s="21" t="s">
        <v>58</v>
      </c>
      <c r="B21" s="7" t="s">
        <v>59</v>
      </c>
      <c r="C21" s="16">
        <f>SUMIFS($E$10:$E$16,$B$10:$B$16,"CAA-1",$D$10:$D$16,"&lt;&gt;VAGO")</f>
        <v>0</v>
      </c>
      <c r="D21" s="16">
        <f>SUMIFS($E$10:$E$16,$B$10:$B$16,"CAA-1",$D$10:$D$16,"VAGO")</f>
        <v>0</v>
      </c>
      <c r="E21" s="16">
        <f t="shared" si="0"/>
        <v>0</v>
      </c>
      <c r="F21" s="22"/>
      <c r="G21" s="18">
        <f>SUMIF($B$10:$B$16,"CAA-1",$G$10:$G$16)</f>
        <v>0</v>
      </c>
      <c r="H21" s="18">
        <f>SUMIF($B$10:$B$16,"CAA-1",$H$10:$H$16)</f>
        <v>0</v>
      </c>
      <c r="I21" s="18">
        <f>SUMIF($B$10:$B$16,"CAA-1",$I$10:$I$16)</f>
        <v>0</v>
      </c>
    </row>
    <row r="22" spans="1:9" x14ac:dyDescent="0.25">
      <c r="A22" s="21" t="s">
        <v>60</v>
      </c>
      <c r="B22" s="7" t="s">
        <v>8</v>
      </c>
      <c r="C22" s="16">
        <f>SUMIFS($E$10:$E$16,$B$10:$B$16,"CAA-2",$D$10:$D$16,"&lt;&gt;VAGO")</f>
        <v>2</v>
      </c>
      <c r="D22" s="16">
        <f>SUMIFS($E$10:$E$16,$B$10:$B$16,"CAA-2",$D$10:$D$16,"VAGO")</f>
        <v>0</v>
      </c>
      <c r="E22" s="16">
        <f t="shared" si="0"/>
        <v>2</v>
      </c>
      <c r="F22" s="22"/>
      <c r="G22" s="18">
        <f>SUMIF($B$10:$B$16,"CAA-2",$G$10:$G$16)</f>
        <v>0</v>
      </c>
      <c r="H22" s="18">
        <f>SUMIF($B$10:$B$16,"CAA-2",$H$10:$H$16)</f>
        <v>0</v>
      </c>
      <c r="I22" s="18">
        <f>SUMIF($B$10:$B$16,"CAA-2",$I$10:$I$16)</f>
        <v>0</v>
      </c>
    </row>
    <row r="23" spans="1:9" x14ac:dyDescent="0.25">
      <c r="A23" s="21" t="s">
        <v>61</v>
      </c>
      <c r="B23" s="7" t="s">
        <v>9</v>
      </c>
      <c r="C23" s="16">
        <f>SUMIFS($E$10:$E$16,$B$10:$B$16,"CAA-3",$D$10:$D$16,"&lt;&gt;VAGO")</f>
        <v>0</v>
      </c>
      <c r="D23" s="16">
        <f>SUMIFS($E$10:$E$16,$B$10:$B$16,"CAA-3",$D$10:$D$16,"VAGO")</f>
        <v>0</v>
      </c>
      <c r="E23" s="16">
        <f t="shared" si="0"/>
        <v>0</v>
      </c>
      <c r="F23" s="20"/>
      <c r="G23" s="18">
        <f>SUMIF($B$10:$B$16,"CAA-3",$G$10:$G$16)</f>
        <v>0</v>
      </c>
      <c r="H23" s="18">
        <f>SUMIF($B$10:$B$16,"CAA-3",$H$10:$H$16)</f>
        <v>0</v>
      </c>
      <c r="I23" s="18">
        <f>SUMIF($B$10:$B$16,"CAA-3",$I$10:$I$16)</f>
        <v>0</v>
      </c>
    </row>
    <row r="24" spans="1:9" x14ac:dyDescent="0.25">
      <c r="A24" s="21" t="s">
        <v>62</v>
      </c>
      <c r="B24" s="7" t="s">
        <v>32</v>
      </c>
      <c r="C24" s="16">
        <f>SUMIFS($E$10:$E$16,$B$10:$B$16,"CAA-4",$D$10:$D$16,"&lt;&gt;VAGO")</f>
        <v>1</v>
      </c>
      <c r="D24" s="16">
        <f>SUMIFS($E$10:$E$16,$B$10:$B$16,"CAA-4",$D$10:$D$16,"VAGO")</f>
        <v>0</v>
      </c>
      <c r="E24" s="16">
        <f t="shared" si="0"/>
        <v>1</v>
      </c>
      <c r="F24" s="20"/>
      <c r="G24" s="18">
        <f>SUMIF($B$10:$B$16,"CAA-4",$G$10:$G$16)</f>
        <v>0</v>
      </c>
      <c r="H24" s="18">
        <f>SUMIF($B$10:$B$16,"CAA-4",$H$10:$H$16)</f>
        <v>0</v>
      </c>
      <c r="I24" s="18">
        <f>SUMIF($B$10:$B$16,"CAA-4",$I$10:$I$16)</f>
        <v>0</v>
      </c>
    </row>
    <row r="25" spans="1:9" x14ac:dyDescent="0.25">
      <c r="A25" s="21" t="s">
        <v>63</v>
      </c>
      <c r="B25" s="7" t="s">
        <v>64</v>
      </c>
      <c r="C25" s="16">
        <f>SUMIFS($E$10:$E$16,$B$10:$B$16,"CAA-5",$D$10:$D$16,"&lt;&gt;VAGO")</f>
        <v>0</v>
      </c>
      <c r="D25" s="16">
        <f>SUMIFS($E$10:$E$16,$B$10:$B$16,"CAA-5",$D$10:$D$16,"VAGO")</f>
        <v>0</v>
      </c>
      <c r="E25" s="16">
        <f t="shared" si="0"/>
        <v>0</v>
      </c>
      <c r="F25" s="20"/>
      <c r="G25" s="18">
        <f>SUMIF($B$10:$B$16,"CAA-5",$G$10:$G$16)</f>
        <v>0</v>
      </c>
      <c r="H25" s="18">
        <f>SUMIF($B$10:$B$16,"CAA-5",$H$10:$H$16)</f>
        <v>0</v>
      </c>
      <c r="I25" s="18">
        <f>SUMIF($B$10:$B$16,"CAA-5",$I$10:$I$16)</f>
        <v>0</v>
      </c>
    </row>
    <row r="26" spans="1:9" x14ac:dyDescent="0.25">
      <c r="A26" s="12" t="s">
        <v>65</v>
      </c>
      <c r="B26" s="14"/>
      <c r="C26" s="13">
        <f ca="1">SUM(C15:C25)</f>
        <v>7</v>
      </c>
      <c r="D26" s="13">
        <f ca="1">SUM(D15:D25)</f>
        <v>0</v>
      </c>
      <c r="E26" s="13">
        <f ca="1">SUM(E15:E25)</f>
        <v>7</v>
      </c>
      <c r="F26" s="14"/>
      <c r="G26" s="23">
        <f ca="1">SUM(G15:G25)</f>
        <v>0</v>
      </c>
      <c r="H26" s="23">
        <f ca="1">SUM(H15:H25)</f>
        <v>12366.33</v>
      </c>
      <c r="I26" s="23">
        <f ca="1">SUM(I15:I25)</f>
        <v>23521.24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ht="15" customHeight="1" x14ac:dyDescent="0.25">
      <c r="A30" s="33" t="s">
        <v>76</v>
      </c>
      <c r="B30" s="26" t="s">
        <v>1</v>
      </c>
      <c r="C30" s="6" t="s">
        <v>35</v>
      </c>
      <c r="D30" s="6" t="s">
        <v>24</v>
      </c>
      <c r="E30" s="7">
        <v>1</v>
      </c>
      <c r="F30" s="37"/>
      <c r="G30" s="18">
        <f t="shared" ref="G30:G33" ca="1" si="1">SUMIF($B$10:$B$16,"DAS",$G$10:$G$16)</f>
        <v>0</v>
      </c>
      <c r="H30" s="18">
        <f t="shared" ref="H30:H33" ca="1" si="2">SUMIF($B$10:$B$16,"DAS",$H$10:$H$16)</f>
        <v>0</v>
      </c>
      <c r="I30" s="18">
        <f t="shared" ref="I30:I33" ca="1" si="3">SUMIF($B$10:$B$16,"DAS",$I$10:$I$16)</f>
        <v>0</v>
      </c>
    </row>
    <row r="31" spans="1:9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/>
      <c r="G31" s="18">
        <f t="shared" ca="1" si="1"/>
        <v>0</v>
      </c>
      <c r="H31" s="18">
        <f t="shared" ca="1" si="2"/>
        <v>0</v>
      </c>
      <c r="I31" s="18">
        <f t="shared" ca="1" si="3"/>
        <v>0</v>
      </c>
    </row>
    <row r="32" spans="1:9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/>
      <c r="G32" s="18">
        <f t="shared" ca="1" si="1"/>
        <v>0</v>
      </c>
      <c r="H32" s="18">
        <f t="shared" ca="1" si="2"/>
        <v>0</v>
      </c>
      <c r="I32" s="18">
        <f t="shared" ca="1" si="3"/>
        <v>0</v>
      </c>
    </row>
    <row r="33" spans="1:9" x14ac:dyDescent="0.25">
      <c r="A33" s="33" t="s">
        <v>81</v>
      </c>
      <c r="B33" s="26" t="s">
        <v>3</v>
      </c>
      <c r="C33" s="6" t="s">
        <v>35</v>
      </c>
      <c r="D33" s="6" t="s">
        <v>24</v>
      </c>
      <c r="E33" s="7">
        <v>1</v>
      </c>
      <c r="G33" s="18">
        <f t="shared" ca="1" si="1"/>
        <v>0</v>
      </c>
      <c r="H33" s="18">
        <f t="shared" ca="1" si="2"/>
        <v>0</v>
      </c>
      <c r="I33" s="18">
        <f t="shared" ca="1" si="3"/>
        <v>0</v>
      </c>
    </row>
    <row r="34" spans="1:9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9" x14ac:dyDescent="0.25">
      <c r="A35" s="15" t="s">
        <v>90</v>
      </c>
      <c r="B35" s="28" t="s">
        <v>91</v>
      </c>
      <c r="C35" s="16">
        <f ca="1">SUMIFS($E$33:$E$36,$B$33:$B$36,"FDA",$D$33:$D$36,"&lt;&gt;VAGO")</f>
        <v>0</v>
      </c>
      <c r="D35" s="16">
        <f ca="1">SUMIFS($E$33:$E$36,$B$33:$B$36,"FDA",$D$33:$D$36,"VAGO")</f>
        <v>0</v>
      </c>
      <c r="E35" s="16">
        <f t="shared" ref="E35:E39" ca="1" si="4">C35+D35</f>
        <v>0</v>
      </c>
      <c r="F35" s="17"/>
      <c r="G35" s="9">
        <f ca="1">SUMIF($B$33:$B$36,"FDA",$G$33:$G$36)</f>
        <v>0</v>
      </c>
      <c r="H35" s="9">
        <f ca="1">SUMIF($B$33:$B$36,"FDA",$H$33:$H$36)</f>
        <v>0</v>
      </c>
      <c r="I35" s="9">
        <f ca="1">SUMIF($B$33:$B$36,"FDA",$I$33:$I$36)</f>
        <v>0</v>
      </c>
    </row>
    <row r="36" spans="1:9" x14ac:dyDescent="0.25">
      <c r="A36" s="15" t="s">
        <v>92</v>
      </c>
      <c r="B36" s="28" t="s">
        <v>93</v>
      </c>
      <c r="C36" s="16">
        <f ca="1">SUMIFS($E$33:$E$36,$B$33:$B$36,"FDA-1",$D$33:$D$36,"&lt;&gt;VAGO")</f>
        <v>0</v>
      </c>
      <c r="D36" s="16">
        <f ca="1">SUMIFS($E$33:$E$36,$B$33:$B$36,"FDA-1",$D$33:$D$36,"VAGO")</f>
        <v>0</v>
      </c>
      <c r="E36" s="16">
        <f t="shared" ca="1" si="4"/>
        <v>0</v>
      </c>
      <c r="F36" s="17"/>
      <c r="G36" s="9">
        <f ca="1">SUMIF($B$33:$B$36,"FDA-1",$G$33:$G$36)</f>
        <v>0</v>
      </c>
      <c r="H36" s="9">
        <f ca="1">SUMIF($B$33:$B$36,"FDA-1",$H$33:$H$36)</f>
        <v>0</v>
      </c>
      <c r="I36" s="9">
        <f ca="1">SUMIF($B$33:$B$36,"FDA-1",$I$33:$I$36)</f>
        <v>0</v>
      </c>
    </row>
    <row r="37" spans="1:9" x14ac:dyDescent="0.25">
      <c r="A37" s="15" t="s">
        <v>94</v>
      </c>
      <c r="B37" s="28" t="s">
        <v>95</v>
      </c>
      <c r="C37" s="16">
        <f>SUMIFS($E$33:$E$36,$B$33:$B$36,"FDA-2",$D$33:$D$36,"&lt;&gt;VAGO")</f>
        <v>0</v>
      </c>
      <c r="D37" s="16">
        <f>SUMIFS($E$33:$E$36,$B$33:$B$36,"FDA-2",$D$33:$D$36,"VAGO")</f>
        <v>0</v>
      </c>
      <c r="E37" s="16">
        <f t="shared" si="4"/>
        <v>0</v>
      </c>
      <c r="F37" s="20"/>
      <c r="G37" s="9">
        <f>SUMIF($B$33:$B$36,"FDA-2",$G$33:$G$36)</f>
        <v>0</v>
      </c>
      <c r="H37" s="9">
        <f>SUMIF($B$33:$B$36,"FDA-2",$H$33:$H$36)</f>
        <v>0</v>
      </c>
      <c r="I37" s="9">
        <f>SUMIF($B$33:$B$36,"FDA-2",$I$33:$I$36)</f>
        <v>0</v>
      </c>
    </row>
    <row r="38" spans="1:9" x14ac:dyDescent="0.25">
      <c r="A38" s="15" t="s">
        <v>96</v>
      </c>
      <c r="B38" s="28" t="s">
        <v>3</v>
      </c>
      <c r="C38" s="16">
        <f>SUMIFS($E$33:$E$36,$B$33:$B$36,"FDA-3",$D$33:$D$36,"&lt;&gt;VAGO")</f>
        <v>1</v>
      </c>
      <c r="D38" s="16">
        <f>SUMIFS($E$33:$E$36,$B$33:$B$36,"FDA-3",$D$33:$D$36,"VAGO")</f>
        <v>0</v>
      </c>
      <c r="E38" s="16">
        <f t="shared" si="4"/>
        <v>1</v>
      </c>
      <c r="F38" s="22"/>
      <c r="G38" s="9">
        <f ca="1">SUMIF($B$33:$B$36,"FDA-3",$G$33:$G$36)</f>
        <v>0</v>
      </c>
      <c r="H38" s="9">
        <f ca="1">SUMIF($B$33:$B$36,"FDA-3",$H$33:$H$36)</f>
        <v>0</v>
      </c>
      <c r="I38" s="9">
        <f ca="1">SUMIF($B$33:$B$36,"FDA-3",$I$33:$I$36)</f>
        <v>0</v>
      </c>
    </row>
    <row r="39" spans="1:9" x14ac:dyDescent="0.25">
      <c r="A39" s="15" t="s">
        <v>97</v>
      </c>
      <c r="B39" s="28" t="s">
        <v>1</v>
      </c>
      <c r="C39" s="16">
        <f>SUMIFS($E$33:$E$36,$B$33:$B$36,"FDA-4",$D$33:$D$36,"&lt;&gt;VAGO")</f>
        <v>0</v>
      </c>
      <c r="D39" s="16">
        <f>SUMIFS($E$33:$E$36,$B$33:$B$36,"FDA-4",$D$33:$D$36,"VAGO")</f>
        <v>0</v>
      </c>
      <c r="E39" s="16">
        <f t="shared" si="4"/>
        <v>0</v>
      </c>
      <c r="F39" s="20"/>
      <c r="G39" s="9">
        <f>SUMIF($B$33:$B$36,"FDA-4",$G$33:$G$36)</f>
        <v>0</v>
      </c>
      <c r="H39" s="9">
        <f>SUMIF($B$33:$B$36,"FDA-4",$H$33:$H$36)</f>
        <v>0</v>
      </c>
      <c r="I39" s="9">
        <f>SUMIF($B$33:$B$36,"FDA-4",$I$33:$I$36)</f>
        <v>0</v>
      </c>
    </row>
    <row r="40" spans="1:9" ht="30" x14ac:dyDescent="0.25">
      <c r="A40" s="12" t="s">
        <v>98</v>
      </c>
      <c r="B40" s="27"/>
      <c r="C40" s="13">
        <f t="shared" ref="C40:E40" ca="1" si="5">SUM(C36:C39)</f>
        <v>4</v>
      </c>
      <c r="D40" s="13">
        <f t="shared" ca="1" si="5"/>
        <v>0</v>
      </c>
      <c r="E40" s="13">
        <f t="shared" ca="1" si="5"/>
        <v>4</v>
      </c>
      <c r="F40" s="27"/>
      <c r="G40" s="29">
        <f t="shared" ref="G40:I40" ca="1" si="6">SUM(G35:G39)</f>
        <v>28238.09</v>
      </c>
      <c r="H40" s="29">
        <f t="shared" ca="1" si="6"/>
        <v>13820.380000000001</v>
      </c>
      <c r="I40" s="29">
        <f t="shared" ca="1" si="6"/>
        <v>42058.47</v>
      </c>
    </row>
    <row r="41" spans="1:9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9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9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9" x14ac:dyDescent="0.25">
      <c r="A44" s="31" t="s">
        <v>236</v>
      </c>
      <c r="B44" s="32" t="s">
        <v>4</v>
      </c>
      <c r="C44" s="32"/>
      <c r="D44" s="6" t="s">
        <v>24</v>
      </c>
      <c r="E44" s="7">
        <v>1</v>
      </c>
      <c r="F44" s="31" t="s">
        <v>218</v>
      </c>
      <c r="G44" s="8">
        <v>8075.56</v>
      </c>
      <c r="H44" s="8">
        <v>1392.8</v>
      </c>
      <c r="I44" s="9">
        <f>SUM(G44:H44)</f>
        <v>9468.36</v>
      </c>
    </row>
    <row r="45" spans="1:9" x14ac:dyDescent="0.25">
      <c r="A45" s="33" t="s">
        <v>237</v>
      </c>
      <c r="B45" s="32" t="s">
        <v>4</v>
      </c>
      <c r="C45" s="6"/>
      <c r="D45" s="6" t="s">
        <v>24</v>
      </c>
      <c r="E45" s="7">
        <v>1</v>
      </c>
      <c r="F45" s="33" t="s">
        <v>231</v>
      </c>
      <c r="G45" s="8">
        <v>7691</v>
      </c>
      <c r="H45" s="8">
        <v>1392.8</v>
      </c>
      <c r="I45" s="9">
        <f t="shared" ref="I45:I78" si="7">SUM(G45:H45)</f>
        <v>9083.7999999999993</v>
      </c>
    </row>
    <row r="46" spans="1:9" x14ac:dyDescent="0.25">
      <c r="A46" s="33" t="s">
        <v>238</v>
      </c>
      <c r="B46" s="32" t="s">
        <v>4</v>
      </c>
      <c r="C46" s="6"/>
      <c r="D46" s="6" t="s">
        <v>24</v>
      </c>
      <c r="E46" s="7">
        <v>1</v>
      </c>
      <c r="F46" s="33" t="s">
        <v>214</v>
      </c>
      <c r="G46" s="8">
        <v>8075.56</v>
      </c>
      <c r="H46" s="8">
        <v>1392.8</v>
      </c>
      <c r="I46" s="9">
        <f t="shared" si="7"/>
        <v>9468.36</v>
      </c>
    </row>
    <row r="47" spans="1:9" x14ac:dyDescent="0.25">
      <c r="A47" s="33" t="s">
        <v>239</v>
      </c>
      <c r="B47" s="32" t="s">
        <v>4</v>
      </c>
      <c r="C47" s="6"/>
      <c r="D47" s="6" t="s">
        <v>24</v>
      </c>
      <c r="E47" s="7">
        <v>1</v>
      </c>
      <c r="F47" s="33" t="s">
        <v>240</v>
      </c>
      <c r="G47" s="8">
        <v>7691</v>
      </c>
      <c r="H47" s="8">
        <v>1392.8</v>
      </c>
      <c r="I47" s="9">
        <f t="shared" si="7"/>
        <v>9083.7999999999993</v>
      </c>
    </row>
    <row r="48" spans="1:9" x14ac:dyDescent="0.25">
      <c r="A48" s="33" t="s">
        <v>241</v>
      </c>
      <c r="B48" s="32" t="s">
        <v>4</v>
      </c>
      <c r="C48" s="6"/>
      <c r="D48" s="6" t="s">
        <v>24</v>
      </c>
      <c r="E48" s="7">
        <v>1</v>
      </c>
      <c r="F48" s="33" t="s">
        <v>109</v>
      </c>
      <c r="G48" s="8">
        <v>8299.11</v>
      </c>
      <c r="H48" s="8">
        <v>1392.8</v>
      </c>
      <c r="I48" s="9">
        <f t="shared" si="7"/>
        <v>9691.91</v>
      </c>
    </row>
    <row r="49" spans="1:9" x14ac:dyDescent="0.25">
      <c r="A49" s="33" t="s">
        <v>242</v>
      </c>
      <c r="B49" s="32" t="s">
        <v>4</v>
      </c>
      <c r="C49" s="6"/>
      <c r="D49" s="6" t="s">
        <v>24</v>
      </c>
      <c r="E49" s="7">
        <v>1</v>
      </c>
      <c r="F49" s="33" t="s">
        <v>110</v>
      </c>
      <c r="G49" s="8">
        <v>8075.56</v>
      </c>
      <c r="H49" s="8">
        <v>1392.8</v>
      </c>
      <c r="I49" s="9">
        <f t="shared" si="7"/>
        <v>9468.36</v>
      </c>
    </row>
    <row r="50" spans="1:9" x14ac:dyDescent="0.25">
      <c r="A50" s="33" t="s">
        <v>243</v>
      </c>
      <c r="B50" s="32" t="s">
        <v>4</v>
      </c>
      <c r="C50" s="6"/>
      <c r="D50" s="6" t="s">
        <v>24</v>
      </c>
      <c r="E50" s="7">
        <v>1</v>
      </c>
      <c r="F50" s="33" t="s">
        <v>111</v>
      </c>
      <c r="G50" s="8">
        <v>7691</v>
      </c>
      <c r="H50" s="8">
        <v>1392.8</v>
      </c>
      <c r="I50" s="9">
        <f t="shared" si="7"/>
        <v>9083.7999999999993</v>
      </c>
    </row>
    <row r="51" spans="1:9" x14ac:dyDescent="0.25">
      <c r="A51" s="33" t="s">
        <v>244</v>
      </c>
      <c r="B51" s="32" t="s">
        <v>4</v>
      </c>
      <c r="C51" s="6"/>
      <c r="D51" s="6" t="s">
        <v>24</v>
      </c>
      <c r="E51" s="7">
        <v>1</v>
      </c>
      <c r="F51" s="33" t="s">
        <v>215</v>
      </c>
      <c r="G51" s="8">
        <v>7691</v>
      </c>
      <c r="H51" s="8">
        <v>1392.8</v>
      </c>
      <c r="I51" s="9">
        <f t="shared" si="7"/>
        <v>9083.7999999999993</v>
      </c>
    </row>
    <row r="52" spans="1:9" x14ac:dyDescent="0.25">
      <c r="A52" s="33" t="s">
        <v>245</v>
      </c>
      <c r="B52" s="32" t="s">
        <v>4</v>
      </c>
      <c r="C52" s="6"/>
      <c r="D52" s="6" t="s">
        <v>24</v>
      </c>
      <c r="E52" s="7">
        <v>1</v>
      </c>
      <c r="F52" s="33" t="s">
        <v>216</v>
      </c>
      <c r="G52" s="8">
        <v>8075.56</v>
      </c>
      <c r="H52" s="8">
        <v>1392.8</v>
      </c>
      <c r="I52" s="9">
        <f t="shared" si="7"/>
        <v>9468.36</v>
      </c>
    </row>
    <row r="53" spans="1:9" x14ac:dyDescent="0.25">
      <c r="A53" s="33" t="s">
        <v>246</v>
      </c>
      <c r="B53" s="32" t="s">
        <v>4</v>
      </c>
      <c r="C53" s="6"/>
      <c r="D53" s="6" t="s">
        <v>24</v>
      </c>
      <c r="E53" s="7">
        <v>1</v>
      </c>
      <c r="F53" s="33" t="s">
        <v>112</v>
      </c>
      <c r="G53" s="8">
        <v>8075.56</v>
      </c>
      <c r="H53" s="8">
        <v>1392.8</v>
      </c>
      <c r="I53" s="9">
        <f t="shared" si="7"/>
        <v>9468.36</v>
      </c>
    </row>
    <row r="54" spans="1:9" x14ac:dyDescent="0.25">
      <c r="A54" s="33" t="s">
        <v>247</v>
      </c>
      <c r="B54" s="32" t="s">
        <v>4</v>
      </c>
      <c r="C54" s="6"/>
      <c r="D54" s="6" t="s">
        <v>24</v>
      </c>
      <c r="E54" s="7">
        <v>1</v>
      </c>
      <c r="F54" s="33" t="s">
        <v>219</v>
      </c>
      <c r="G54" s="8">
        <v>7691</v>
      </c>
      <c r="H54" s="8">
        <v>1392.8</v>
      </c>
      <c r="I54" s="9">
        <f t="shared" si="7"/>
        <v>9083.7999999999993</v>
      </c>
    </row>
    <row r="55" spans="1:9" x14ac:dyDescent="0.25">
      <c r="A55" s="33" t="s">
        <v>248</v>
      </c>
      <c r="B55" s="32" t="s">
        <v>4</v>
      </c>
      <c r="C55" s="6"/>
      <c r="D55" s="6" t="s">
        <v>24</v>
      </c>
      <c r="E55" s="7">
        <v>1</v>
      </c>
      <c r="F55" s="33" t="s">
        <v>113</v>
      </c>
      <c r="G55" s="8">
        <v>2295.89</v>
      </c>
      <c r="H55" s="8">
        <v>1392.8</v>
      </c>
      <c r="I55" s="9">
        <f t="shared" si="7"/>
        <v>3688.6899999999996</v>
      </c>
    </row>
    <row r="56" spans="1:9" x14ac:dyDescent="0.25">
      <c r="A56" s="33" t="s">
        <v>249</v>
      </c>
      <c r="B56" s="32" t="s">
        <v>4</v>
      </c>
      <c r="C56" s="6"/>
      <c r="D56" s="6" t="s">
        <v>24</v>
      </c>
      <c r="E56" s="7">
        <v>1</v>
      </c>
      <c r="F56" s="33" t="s">
        <v>114</v>
      </c>
      <c r="G56" s="8">
        <v>5125.45</v>
      </c>
      <c r="H56" s="8">
        <v>1392.8</v>
      </c>
      <c r="I56" s="9">
        <f>SUM(G56:H56)</f>
        <v>6518.25</v>
      </c>
    </row>
    <row r="57" spans="1:9" x14ac:dyDescent="0.25">
      <c r="A57" s="33" t="s">
        <v>250</v>
      </c>
      <c r="B57" s="32" t="s">
        <v>4</v>
      </c>
      <c r="C57" s="6"/>
      <c r="D57" s="6" t="s">
        <v>117</v>
      </c>
      <c r="E57" s="7">
        <v>1</v>
      </c>
      <c r="F57" s="33" t="s">
        <v>251</v>
      </c>
      <c r="G57" s="8">
        <v>0</v>
      </c>
      <c r="H57" s="8">
        <v>1392.8</v>
      </c>
      <c r="I57" s="9">
        <f t="shared" si="7"/>
        <v>1392.8</v>
      </c>
    </row>
    <row r="58" spans="1:9" x14ac:dyDescent="0.25">
      <c r="A58" s="33" t="s">
        <v>252</v>
      </c>
      <c r="B58" s="32" t="s">
        <v>4</v>
      </c>
      <c r="C58" s="6"/>
      <c r="D58" s="6" t="s">
        <v>24</v>
      </c>
      <c r="E58" s="7">
        <v>1</v>
      </c>
      <c r="F58" s="33" t="s">
        <v>115</v>
      </c>
      <c r="G58" s="8">
        <v>5933.35</v>
      </c>
      <c r="H58" s="8">
        <v>1392.8</v>
      </c>
      <c r="I58" s="9">
        <f t="shared" si="7"/>
        <v>7326.1500000000005</v>
      </c>
    </row>
    <row r="59" spans="1:9" x14ac:dyDescent="0.25">
      <c r="A59" s="33" t="s">
        <v>253</v>
      </c>
      <c r="B59" s="32" t="s">
        <v>4</v>
      </c>
      <c r="C59" s="6"/>
      <c r="D59" s="6" t="s">
        <v>24</v>
      </c>
      <c r="E59" s="7">
        <v>1</v>
      </c>
      <c r="F59" s="33" t="s">
        <v>220</v>
      </c>
      <c r="G59" s="8">
        <v>5125.45</v>
      </c>
      <c r="H59" s="8">
        <v>1392.8</v>
      </c>
      <c r="I59" s="9">
        <f t="shared" si="7"/>
        <v>6518.25</v>
      </c>
    </row>
    <row r="60" spans="1:9" x14ac:dyDescent="0.25">
      <c r="A60" s="33" t="s">
        <v>254</v>
      </c>
      <c r="B60" s="32" t="s">
        <v>4</v>
      </c>
      <c r="C60" s="6"/>
      <c r="D60" s="6" t="s">
        <v>24</v>
      </c>
      <c r="E60" s="7">
        <v>1</v>
      </c>
      <c r="F60" s="33" t="s">
        <v>116</v>
      </c>
      <c r="G60" s="8">
        <v>5404.89</v>
      </c>
      <c r="H60" s="8">
        <v>1392.8</v>
      </c>
      <c r="I60" s="9">
        <f t="shared" si="7"/>
        <v>6797.6900000000005</v>
      </c>
    </row>
    <row r="61" spans="1:9" x14ac:dyDescent="0.25">
      <c r="A61" s="33" t="s">
        <v>255</v>
      </c>
      <c r="B61" s="32" t="s">
        <v>4</v>
      </c>
      <c r="C61" s="6"/>
      <c r="D61" s="6" t="s">
        <v>24</v>
      </c>
      <c r="E61" s="7">
        <v>1</v>
      </c>
      <c r="F61" s="33" t="s">
        <v>221</v>
      </c>
      <c r="G61" s="8">
        <v>5298.9</v>
      </c>
      <c r="H61" s="8">
        <v>1392.8</v>
      </c>
      <c r="I61" s="9">
        <f t="shared" si="7"/>
        <v>6691.7</v>
      </c>
    </row>
    <row r="62" spans="1:9" x14ac:dyDescent="0.25">
      <c r="A62" s="33" t="s">
        <v>256</v>
      </c>
      <c r="B62" s="32" t="s">
        <v>4</v>
      </c>
      <c r="C62" s="6"/>
      <c r="D62" s="6" t="s">
        <v>117</v>
      </c>
      <c r="E62" s="7">
        <v>1</v>
      </c>
      <c r="F62" s="33" t="s">
        <v>257</v>
      </c>
      <c r="G62" s="8">
        <v>0</v>
      </c>
      <c r="H62" s="8">
        <v>1392.8</v>
      </c>
      <c r="I62" s="9">
        <f t="shared" si="7"/>
        <v>1392.8</v>
      </c>
    </row>
    <row r="63" spans="1:9" x14ac:dyDescent="0.25">
      <c r="A63" s="33" t="s">
        <v>258</v>
      </c>
      <c r="B63" s="32" t="s">
        <v>4</v>
      </c>
      <c r="C63" s="6"/>
      <c r="D63" s="6" t="s">
        <v>24</v>
      </c>
      <c r="E63" s="7">
        <v>1</v>
      </c>
      <c r="F63" s="33" t="s">
        <v>232</v>
      </c>
      <c r="G63" s="8">
        <v>8075.56</v>
      </c>
      <c r="H63" s="8">
        <v>1392.8</v>
      </c>
      <c r="I63" s="9">
        <f t="shared" si="7"/>
        <v>9468.36</v>
      </c>
    </row>
    <row r="64" spans="1:9" x14ac:dyDescent="0.25">
      <c r="A64" s="33" t="s">
        <v>259</v>
      </c>
      <c r="B64" s="32" t="s">
        <v>5</v>
      </c>
      <c r="C64" s="6"/>
      <c r="D64" s="6" t="s">
        <v>24</v>
      </c>
      <c r="E64" s="7">
        <v>1</v>
      </c>
      <c r="F64" s="33" t="s">
        <v>118</v>
      </c>
      <c r="G64" s="8">
        <v>8479.33</v>
      </c>
      <c r="H64" s="8">
        <v>849.76</v>
      </c>
      <c r="I64" s="9">
        <f t="shared" si="7"/>
        <v>9329.09</v>
      </c>
    </row>
    <row r="65" spans="1:9" x14ac:dyDescent="0.25">
      <c r="A65" s="33" t="s">
        <v>259</v>
      </c>
      <c r="B65" s="32" t="s">
        <v>5</v>
      </c>
      <c r="C65" s="6"/>
      <c r="D65" s="6" t="s">
        <v>24</v>
      </c>
      <c r="E65" s="7">
        <v>1</v>
      </c>
      <c r="F65" s="33" t="s">
        <v>222</v>
      </c>
      <c r="G65" s="8">
        <v>5675.13</v>
      </c>
      <c r="H65" s="8">
        <v>849.76</v>
      </c>
      <c r="I65" s="9">
        <f t="shared" si="7"/>
        <v>6524.89</v>
      </c>
    </row>
    <row r="66" spans="1:9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33" t="s">
        <v>217</v>
      </c>
      <c r="G66" s="8">
        <v>5675.13</v>
      </c>
      <c r="H66" s="8">
        <v>849.76</v>
      </c>
      <c r="I66" s="9">
        <f t="shared" si="7"/>
        <v>6524.89</v>
      </c>
    </row>
    <row r="67" spans="1:9" x14ac:dyDescent="0.25">
      <c r="A67" s="33" t="s">
        <v>260</v>
      </c>
      <c r="B67" s="32" t="s">
        <v>6</v>
      </c>
      <c r="C67" s="6"/>
      <c r="D67" s="6" t="s">
        <v>24</v>
      </c>
      <c r="E67" s="7">
        <v>1</v>
      </c>
      <c r="F67" s="33" t="s">
        <v>119</v>
      </c>
      <c r="G67" s="8">
        <v>2531.2199999999998</v>
      </c>
      <c r="H67" s="8">
        <v>505.81</v>
      </c>
      <c r="I67" s="9">
        <f t="shared" si="7"/>
        <v>3037.0299999999997</v>
      </c>
    </row>
    <row r="68" spans="1:9" x14ac:dyDescent="0.25">
      <c r="A68" s="33" t="s">
        <v>260</v>
      </c>
      <c r="B68" s="32" t="s">
        <v>6</v>
      </c>
      <c r="C68" s="6"/>
      <c r="D68" s="6" t="s">
        <v>24</v>
      </c>
      <c r="E68" s="7">
        <v>1</v>
      </c>
      <c r="F68" s="33" t="s">
        <v>233</v>
      </c>
      <c r="G68" s="8">
        <v>5046.58</v>
      </c>
      <c r="H68" s="8">
        <v>505.81</v>
      </c>
      <c r="I68" s="9">
        <f t="shared" si="7"/>
        <v>5552.39</v>
      </c>
    </row>
    <row r="69" spans="1:9" x14ac:dyDescent="0.25">
      <c r="A69" s="33" t="s">
        <v>260</v>
      </c>
      <c r="B69" s="32" t="s">
        <v>6</v>
      </c>
      <c r="C69" s="6"/>
      <c r="D69" s="6" t="s">
        <v>117</v>
      </c>
      <c r="E69" s="7">
        <v>1</v>
      </c>
      <c r="F69" s="33" t="s">
        <v>223</v>
      </c>
      <c r="G69" s="8">
        <v>0</v>
      </c>
      <c r="H69" s="8">
        <v>505.81</v>
      </c>
      <c r="I69" s="9">
        <f t="shared" si="7"/>
        <v>505.81</v>
      </c>
    </row>
    <row r="70" spans="1:9" x14ac:dyDescent="0.25">
      <c r="A70" s="33" t="s">
        <v>260</v>
      </c>
      <c r="B70" s="32" t="s">
        <v>6</v>
      </c>
      <c r="C70" s="32"/>
      <c r="D70" s="6" t="s">
        <v>117</v>
      </c>
      <c r="E70" s="7">
        <v>1</v>
      </c>
      <c r="F70" s="37" t="s">
        <v>224</v>
      </c>
      <c r="G70" s="8">
        <v>0</v>
      </c>
      <c r="H70" s="8">
        <v>505.81</v>
      </c>
      <c r="I70" s="9">
        <f t="shared" si="7"/>
        <v>505.81</v>
      </c>
    </row>
    <row r="71" spans="1:9" x14ac:dyDescent="0.25">
      <c r="A71" s="33" t="s">
        <v>260</v>
      </c>
      <c r="B71" s="32" t="s">
        <v>6</v>
      </c>
      <c r="C71" s="32"/>
      <c r="D71" s="6" t="s">
        <v>24</v>
      </c>
      <c r="E71" s="7">
        <v>1</v>
      </c>
      <c r="F71" s="37" t="s">
        <v>261</v>
      </c>
      <c r="G71" s="8">
        <v>5650.81</v>
      </c>
      <c r="H71" s="8">
        <v>505.81</v>
      </c>
      <c r="I71" s="9">
        <f t="shared" si="7"/>
        <v>6156.6200000000008</v>
      </c>
    </row>
    <row r="72" spans="1:9" x14ac:dyDescent="0.25">
      <c r="A72" s="31" t="s">
        <v>262</v>
      </c>
      <c r="B72" s="32" t="s">
        <v>7</v>
      </c>
      <c r="C72" s="32"/>
      <c r="D72" s="6" t="s">
        <v>24</v>
      </c>
      <c r="E72" s="7">
        <v>1</v>
      </c>
      <c r="F72" s="31" t="s">
        <v>229</v>
      </c>
      <c r="G72" s="8">
        <v>7691</v>
      </c>
      <c r="H72" s="8">
        <v>465.35</v>
      </c>
      <c r="I72" s="9">
        <f t="shared" si="7"/>
        <v>8156.35</v>
      </c>
    </row>
    <row r="73" spans="1:9" x14ac:dyDescent="0.25">
      <c r="A73" s="31" t="s">
        <v>262</v>
      </c>
      <c r="B73" s="32" t="s">
        <v>7</v>
      </c>
      <c r="C73" s="32"/>
      <c r="D73" s="6" t="s">
        <v>117</v>
      </c>
      <c r="E73" s="7">
        <v>1</v>
      </c>
      <c r="F73" s="31" t="s">
        <v>225</v>
      </c>
      <c r="G73" s="8">
        <v>0</v>
      </c>
      <c r="H73" s="8">
        <v>465.35</v>
      </c>
      <c r="I73" s="9">
        <f t="shared" si="7"/>
        <v>465.35</v>
      </c>
    </row>
    <row r="74" spans="1:9" x14ac:dyDescent="0.25">
      <c r="A74" s="31" t="s">
        <v>262</v>
      </c>
      <c r="B74" s="32" t="s">
        <v>7</v>
      </c>
      <c r="C74" s="32"/>
      <c r="D74" s="6" t="s">
        <v>117</v>
      </c>
      <c r="E74" s="7">
        <v>1</v>
      </c>
      <c r="F74" s="31" t="s">
        <v>226</v>
      </c>
      <c r="G74" s="8">
        <v>0</v>
      </c>
      <c r="H74" s="8">
        <v>465.35</v>
      </c>
      <c r="I74" s="9">
        <f t="shared" si="7"/>
        <v>465.35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227</v>
      </c>
      <c r="G75" s="8">
        <v>0</v>
      </c>
      <c r="H75" s="8">
        <v>465.35</v>
      </c>
      <c r="I75" s="9">
        <f t="shared" si="7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24</v>
      </c>
      <c r="E76" s="7">
        <v>1</v>
      </c>
      <c r="F76" s="31" t="s">
        <v>263</v>
      </c>
      <c r="G76" s="8">
        <v>5563.85</v>
      </c>
      <c r="H76" s="8">
        <v>465.35</v>
      </c>
      <c r="I76" s="9">
        <f t="shared" si="7"/>
        <v>6029.2000000000007</v>
      </c>
    </row>
    <row r="77" spans="1:9" x14ac:dyDescent="0.25">
      <c r="A77" s="31" t="s">
        <v>262</v>
      </c>
      <c r="B77" s="32" t="s">
        <v>7</v>
      </c>
      <c r="C77" s="32"/>
      <c r="D77" s="6" t="s">
        <v>24</v>
      </c>
      <c r="E77" s="7">
        <v>1</v>
      </c>
      <c r="F77" s="31" t="s">
        <v>264</v>
      </c>
      <c r="G77" s="8">
        <v>5404.89</v>
      </c>
      <c r="H77" s="8">
        <v>465.35</v>
      </c>
      <c r="I77" s="9">
        <f t="shared" si="7"/>
        <v>5870.2400000000007</v>
      </c>
    </row>
    <row r="78" spans="1:9" x14ac:dyDescent="0.25">
      <c r="A78" s="31" t="s">
        <v>262</v>
      </c>
      <c r="B78" s="32" t="s">
        <v>7</v>
      </c>
      <c r="C78" s="32"/>
      <c r="D78" s="6" t="s">
        <v>117</v>
      </c>
      <c r="E78" s="7">
        <v>1</v>
      </c>
      <c r="F78" s="31" t="s">
        <v>230</v>
      </c>
      <c r="G78" s="8">
        <v>0</v>
      </c>
      <c r="H78" s="8">
        <v>465.35</v>
      </c>
      <c r="I78" s="9">
        <f t="shared" si="7"/>
        <v>465.35</v>
      </c>
    </row>
    <row r="79" spans="1:9" ht="45" x14ac:dyDescent="0.25">
      <c r="A79" s="12" t="s">
        <v>120</v>
      </c>
      <c r="B79" s="12" t="s">
        <v>121</v>
      </c>
      <c r="C79" s="13" t="s">
        <v>122</v>
      </c>
      <c r="D79" s="13" t="s">
        <v>123</v>
      </c>
      <c r="E79" s="13" t="s">
        <v>124</v>
      </c>
      <c r="F79" s="27"/>
      <c r="G79" s="13" t="s">
        <v>125</v>
      </c>
      <c r="H79" s="13" t="s">
        <v>126</v>
      </c>
      <c r="I79" s="13" t="s">
        <v>127</v>
      </c>
    </row>
    <row r="80" spans="1:9" x14ac:dyDescent="0.25">
      <c r="A80" s="15" t="s">
        <v>128</v>
      </c>
      <c r="B80" s="28" t="s">
        <v>4</v>
      </c>
      <c r="C80" s="16">
        <f ca="1">SUMIFS($E$47:$E$81,$B$47:$B$81,"FGS-1",$D$47:$D$81,"&lt;&gt;VAGO")</f>
        <v>20</v>
      </c>
      <c r="D80" s="16">
        <f ca="1">SUMIFS($E$47:$E$81,$B$47:$B$81,"FGS-1",$D$47:$D$81,"VAGO")</f>
        <v>0</v>
      </c>
      <c r="E80" s="16">
        <f t="shared" ref="E80:E85" ca="1" si="8">C80+D80</f>
        <v>20</v>
      </c>
      <c r="F80" s="17"/>
      <c r="G80" s="9">
        <f>SUMIF($B$47:$B$66,"FGS-1",$G$47:$G$66)</f>
        <v>100549.27999999998</v>
      </c>
      <c r="H80" s="9">
        <f>SUMIF($B$47:$B$66,"FGS-1",$H$47:$H$66)</f>
        <v>23677.599999999991</v>
      </c>
      <c r="I80" s="9">
        <f>SUMIF($B$47:$B$66,"FGS-1",$I$47:$I$66)</f>
        <v>124226.88</v>
      </c>
    </row>
    <row r="81" spans="1:9" x14ac:dyDescent="0.25">
      <c r="A81" s="15" t="s">
        <v>129</v>
      </c>
      <c r="B81" s="28" t="s">
        <v>130</v>
      </c>
      <c r="C81" s="16">
        <f>SUMIFS($E$47:$E$81,$B$47:$B$81,"FGS-2",$D$47:$D$81,"&lt;&gt;VAGO")</f>
        <v>3</v>
      </c>
      <c r="D81" s="16">
        <f>SUMIFS($E$47:$E$81,$B$47:$B$81,"FGS-2",$D$47:$D$81,"VAGO")</f>
        <v>0</v>
      </c>
      <c r="E81" s="16">
        <f t="shared" si="8"/>
        <v>3</v>
      </c>
      <c r="F81" s="20"/>
      <c r="G81" s="9">
        <f>SUMIF($B$67:$B$69,"FGS-2",$G$67:$G$69)</f>
        <v>0</v>
      </c>
      <c r="H81" s="9">
        <f>SUMIF($B$67:$B$69,"FGS-2",$H$67:$H$69)</f>
        <v>0</v>
      </c>
      <c r="I81" s="9">
        <f>SUMIF($B$67:$B$69,"FGS-2",$I$67:$I$69)</f>
        <v>0</v>
      </c>
    </row>
    <row r="82" spans="1:9" x14ac:dyDescent="0.25">
      <c r="A82" s="15" t="s">
        <v>131</v>
      </c>
      <c r="B82" s="28" t="s">
        <v>132</v>
      </c>
      <c r="C82" s="16">
        <f>SUMIFS($E$47:$E$81,$B$47:$B$81,"FGS-3",$D$47:$D$81,"&lt;&gt;VAGO")</f>
        <v>0</v>
      </c>
      <c r="D82" s="16">
        <f>SUMIFS($E$47:$E$81,$B$47:$B$81,"FGS-3",$D$47:$D$81,"VAGO")</f>
        <v>0</v>
      </c>
      <c r="E82" s="16">
        <f t="shared" si="8"/>
        <v>0</v>
      </c>
      <c r="F82" s="20"/>
      <c r="G82" s="9">
        <f>SUMIF($B$47:$B$81,"FGS-3",$G$47:$G$81)</f>
        <v>0</v>
      </c>
      <c r="H82" s="9">
        <f>SUMIF($B$47:$B$81,"FGS-3",$G$47:$G$81)</f>
        <v>0</v>
      </c>
      <c r="I82" s="9">
        <f>SUMIF($B$47:$B$81,"FGS-3",$G$47:$G$81)</f>
        <v>0</v>
      </c>
    </row>
    <row r="83" spans="1:9" x14ac:dyDescent="0.25">
      <c r="A83" s="21" t="s">
        <v>133</v>
      </c>
      <c r="B83" s="34" t="s">
        <v>134</v>
      </c>
      <c r="C83" s="16">
        <f>SUMIFS($E$47:$E$81,$B$47:$B$81,"FGA-1",$D$47:$D$81,"&lt;&gt;VAGO")</f>
        <v>5</v>
      </c>
      <c r="D83" s="16">
        <f>SUMIFS($E$47:$E$81,$B$47:$B$81,"FGA-1",$D$47:$D$81,"VAGO")</f>
        <v>0</v>
      </c>
      <c r="E83" s="16">
        <f t="shared" si="8"/>
        <v>5</v>
      </c>
      <c r="F83" s="22"/>
      <c r="G83" s="9">
        <f>SUMIF($B$70:$B$74,"FGA-1",$G$70:$G$74)</f>
        <v>5650.81</v>
      </c>
      <c r="H83" s="9">
        <f>SUMIF($B$70:$B$74,"FGA-1",$H$70:$H$74)</f>
        <v>1011.62</v>
      </c>
      <c r="I83" s="9">
        <f>SUMIF($B$70:$B$74,"FGA-1",$I$70:$I$74)</f>
        <v>6662.4300000000012</v>
      </c>
    </row>
    <row r="84" spans="1:9" x14ac:dyDescent="0.25">
      <c r="A84" s="15" t="s">
        <v>135</v>
      </c>
      <c r="B84" s="28" t="s">
        <v>7</v>
      </c>
      <c r="C84" s="16">
        <f>SUMIFS($E$47:$E$81,$B$47:$B$81,"FGA-2",$D$47:$D$81,"&lt;&gt;VAGO")</f>
        <v>7</v>
      </c>
      <c r="D84" s="16">
        <f>SUMIFS($E$47:$E$81,$B$47:$B$81,"FGA-2",$D$47:$D$81,"VAGO")</f>
        <v>0</v>
      </c>
      <c r="E84" s="16">
        <f t="shared" si="8"/>
        <v>7</v>
      </c>
      <c r="F84" s="22"/>
      <c r="G84" s="9">
        <f>SUMIF($B$75:$B$81,"FGA-2",$G$75:$G$81)</f>
        <v>10968.740000000002</v>
      </c>
      <c r="H84" s="9">
        <f>SUMIF($B$75:$B$81,"FGA-2",$H$75:$H$81)</f>
        <v>1861.4</v>
      </c>
      <c r="I84" s="9">
        <f>SUMIF($B$75:$B$81,"FGA-2",$I$75:$I$81)</f>
        <v>12830.140000000001</v>
      </c>
    </row>
    <row r="85" spans="1:9" x14ac:dyDescent="0.25">
      <c r="A85" s="15" t="s">
        <v>136</v>
      </c>
      <c r="B85" s="28" t="s">
        <v>137</v>
      </c>
      <c r="C85" s="16">
        <f>SUMIFS($E$47:$E$81,$B$47:$B$81,"FGA-3",$D$47:$D$81,"&lt;&gt;VAGO")</f>
        <v>0</v>
      </c>
      <c r="D85" s="16">
        <f>SUMIFS($E$47:$E$81,$B$47:$B$81,"FGA-3",$D$47:$D$81,"VAGO")</f>
        <v>0</v>
      </c>
      <c r="E85" s="16">
        <f t="shared" si="8"/>
        <v>0</v>
      </c>
      <c r="F85" s="20"/>
      <c r="G85" s="9">
        <f>SUMIF($B$47:$B$81,"FGA-3",$G$47:$G$81)</f>
        <v>0</v>
      </c>
      <c r="H85" s="9">
        <f>SUMIF($B$47:$B$81,"FGA-3",$G$47:$G$81)</f>
        <v>0</v>
      </c>
      <c r="I85" s="9">
        <f>SUMIF($B$47:$B$81,"FGA-3",$G$47:$G$81)</f>
        <v>0</v>
      </c>
    </row>
    <row r="86" spans="1:9" ht="30" x14ac:dyDescent="0.25">
      <c r="A86" s="12" t="s">
        <v>138</v>
      </c>
      <c r="B86" s="27"/>
      <c r="C86" s="13">
        <f t="shared" ref="C86:E86" ca="1" si="9">SUM(C80:C85)</f>
        <v>35</v>
      </c>
      <c r="D86" s="13">
        <f t="shared" ca="1" si="9"/>
        <v>0</v>
      </c>
      <c r="E86" s="13">
        <f t="shared" ca="1" si="9"/>
        <v>35</v>
      </c>
      <c r="F86" s="27"/>
      <c r="G86" s="29">
        <f>SUM(G80:G85)</f>
        <v>117168.82999999999</v>
      </c>
      <c r="H86" s="29">
        <f>SUM(H80:H85)</f>
        <v>26550.619999999992</v>
      </c>
      <c r="I86" s="29">
        <f>SUM(I80:I85)</f>
        <v>143719.45000000001</v>
      </c>
    </row>
    <row r="87" spans="1:9" x14ac:dyDescent="0.25">
      <c r="A87" s="19"/>
      <c r="B87" s="19"/>
      <c r="C87" s="19"/>
      <c r="D87" s="19"/>
      <c r="E87" s="19"/>
      <c r="F87" s="19"/>
      <c r="G87" s="19"/>
      <c r="H87" s="19"/>
      <c r="I87" s="25"/>
    </row>
    <row r="88" spans="1:9" ht="60" x14ac:dyDescent="0.25">
      <c r="A88" s="12"/>
      <c r="B88" s="12"/>
      <c r="C88" s="13" t="s">
        <v>139</v>
      </c>
      <c r="D88" s="13" t="s">
        <v>140</v>
      </c>
      <c r="E88" s="13" t="s">
        <v>141</v>
      </c>
      <c r="F88" s="14"/>
      <c r="G88" s="13" t="s">
        <v>142</v>
      </c>
      <c r="H88" s="13" t="s">
        <v>143</v>
      </c>
      <c r="I88" s="13" t="s">
        <v>144</v>
      </c>
    </row>
    <row r="89" spans="1:9" ht="30" x14ac:dyDescent="0.25">
      <c r="A89" s="12" t="s">
        <v>145</v>
      </c>
      <c r="B89" s="14"/>
      <c r="C89" s="13">
        <f ca="1">SUM(C26+C40+C86)</f>
        <v>46</v>
      </c>
      <c r="D89" s="13">
        <f ca="1">SUM(D26+D40+D86)</f>
        <v>0</v>
      </c>
      <c r="E89" s="13">
        <f ca="1">SUM(E26+E40+E86)</f>
        <v>46</v>
      </c>
      <c r="F89" s="14"/>
      <c r="G89" s="29">
        <f ca="1">SUM(H26+G40+G86)</f>
        <v>185959.39</v>
      </c>
      <c r="H89" s="29">
        <f ca="1">SUM(I26+H40+H86)</f>
        <v>68541.39</v>
      </c>
      <c r="I89" s="29">
        <f ca="1">SUM(J26+I40+I86)</f>
        <v>254500.78000000003</v>
      </c>
    </row>
    <row r="90" spans="1:9" x14ac:dyDescent="0.25">
      <c r="A90" s="19"/>
      <c r="B90" s="19"/>
      <c r="C90" s="19"/>
      <c r="D90" s="19"/>
      <c r="E90" s="19"/>
      <c r="F90" s="19"/>
      <c r="G90" s="19"/>
      <c r="H90" s="19"/>
      <c r="I90" s="25"/>
    </row>
    <row r="91" spans="1:9" x14ac:dyDescent="0.25">
      <c r="A91" s="130" t="s">
        <v>146</v>
      </c>
      <c r="B91" s="128"/>
      <c r="C91" s="128"/>
      <c r="D91" s="128"/>
      <c r="E91" s="128"/>
      <c r="F91" s="129"/>
      <c r="G91" s="10"/>
      <c r="H91" s="19"/>
      <c r="I91" s="19"/>
    </row>
    <row r="92" spans="1:9" x14ac:dyDescent="0.25">
      <c r="A92" s="131" t="s">
        <v>147</v>
      </c>
      <c r="B92" s="125"/>
      <c r="C92" s="125"/>
      <c r="D92" s="125"/>
      <c r="E92" s="125"/>
      <c r="F92" s="126"/>
      <c r="G92" s="10"/>
      <c r="H92" s="19"/>
      <c r="I92" s="19"/>
    </row>
    <row r="93" spans="1:9" x14ac:dyDescent="0.25">
      <c r="A93" s="131" t="s">
        <v>148</v>
      </c>
      <c r="B93" s="125"/>
      <c r="C93" s="125"/>
      <c r="D93" s="125"/>
      <c r="E93" s="125"/>
      <c r="F93" s="126"/>
      <c r="G93" s="10"/>
      <c r="H93" s="19"/>
      <c r="I93" s="19"/>
    </row>
    <row r="94" spans="1:9" x14ac:dyDescent="0.25">
      <c r="A94" s="124" t="s">
        <v>149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24" t="s">
        <v>150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151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228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234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265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33"/>
      <c r="B100" s="128"/>
      <c r="C100" s="128"/>
      <c r="D100" s="128"/>
      <c r="E100" s="128"/>
      <c r="F100" s="129"/>
      <c r="G100" s="10"/>
      <c r="H100" s="19"/>
      <c r="I100" s="19"/>
    </row>
    <row r="101" spans="1:9" x14ac:dyDescent="0.25">
      <c r="A101" s="133"/>
      <c r="B101" s="128"/>
      <c r="C101" s="128"/>
      <c r="D101" s="128"/>
      <c r="E101" s="128"/>
      <c r="F101" s="129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4"/>
      <c r="B103" s="135"/>
      <c r="C103" s="135"/>
      <c r="D103" s="135"/>
      <c r="E103" s="135"/>
      <c r="F103" s="136"/>
      <c r="G103" s="10"/>
      <c r="H103" s="19"/>
      <c r="I103" s="19"/>
    </row>
    <row r="104" spans="1:9" x14ac:dyDescent="0.25">
      <c r="A104" s="137"/>
      <c r="B104" s="138"/>
      <c r="C104" s="138"/>
      <c r="D104" s="138"/>
      <c r="E104" s="138"/>
      <c r="F104" s="138"/>
      <c r="G104" s="10"/>
      <c r="H104" s="19"/>
      <c r="I104" s="19"/>
    </row>
    <row r="105" spans="1:9" x14ac:dyDescent="0.25">
      <c r="A105" s="139" t="s">
        <v>152</v>
      </c>
      <c r="B105" s="140"/>
      <c r="C105" s="140"/>
      <c r="D105" s="140"/>
      <c r="E105" s="140"/>
      <c r="F105" s="141"/>
      <c r="G105" s="10"/>
      <c r="H105" s="19"/>
      <c r="I105" s="19"/>
    </row>
    <row r="106" spans="1:9" x14ac:dyDescent="0.25">
      <c r="A106" s="142" t="s">
        <v>153</v>
      </c>
      <c r="B106" s="128"/>
      <c r="C106" s="128"/>
      <c r="D106" s="128"/>
      <c r="E106" s="128"/>
      <c r="F106" s="129"/>
      <c r="G106" s="10"/>
      <c r="H106" s="19"/>
      <c r="I106" s="19"/>
    </row>
    <row r="107" spans="1:9" x14ac:dyDescent="0.25">
      <c r="A107" s="132" t="s">
        <v>154</v>
      </c>
      <c r="B107" s="128"/>
      <c r="C107" s="128"/>
      <c r="D107" s="128"/>
      <c r="E107" s="128"/>
      <c r="F107" s="129"/>
      <c r="G107" s="10"/>
      <c r="H107" s="19"/>
      <c r="I107" s="19"/>
    </row>
    <row r="108" spans="1:9" x14ac:dyDescent="0.25">
      <c r="A108" s="132" t="s">
        <v>155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156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157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158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159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160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161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162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163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164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165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166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167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168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169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170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171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172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173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174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175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176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177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178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179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180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181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182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183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184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185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186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187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188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189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190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191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192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193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194</v>
      </c>
      <c r="B147" s="128"/>
      <c r="C147" s="128"/>
      <c r="D147" s="128"/>
      <c r="E147" s="128"/>
      <c r="F147" s="129"/>
      <c r="G147" s="35"/>
      <c r="H147" s="35"/>
      <c r="I147" s="35"/>
    </row>
    <row r="148" spans="1:9" x14ac:dyDescent="0.25">
      <c r="A148" s="132" t="s">
        <v>195</v>
      </c>
      <c r="B148" s="128"/>
      <c r="C148" s="128"/>
      <c r="D148" s="128"/>
      <c r="E148" s="128"/>
      <c r="F148" s="129"/>
      <c r="G148" s="35"/>
      <c r="H148" s="35"/>
      <c r="I148" s="35"/>
    </row>
    <row r="149" spans="1:9" x14ac:dyDescent="0.25">
      <c r="A149" s="132" t="s">
        <v>196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197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198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199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200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201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202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203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204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205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206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207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208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209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210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211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212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213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36"/>
      <c r="B167" s="38"/>
      <c r="C167" s="38"/>
      <c r="D167" s="38"/>
      <c r="E167" s="38"/>
      <c r="F167" s="38"/>
      <c r="G167" s="35"/>
      <c r="H167" s="35"/>
      <c r="I167" s="35"/>
    </row>
    <row r="173" spans="1:9" x14ac:dyDescent="0.25">
      <c r="A173" s="39" t="s">
        <v>266</v>
      </c>
    </row>
    <row r="174" spans="1:9" x14ac:dyDescent="0.25">
      <c r="A174" s="40" t="s">
        <v>10</v>
      </c>
    </row>
    <row r="175" spans="1:9" x14ac:dyDescent="0.25">
      <c r="A175" s="39" t="s">
        <v>235</v>
      </c>
    </row>
  </sheetData>
  <mergeCells count="83">
    <mergeCell ref="A1:J1"/>
    <mergeCell ref="A2:J2"/>
    <mergeCell ref="A3:J3"/>
    <mergeCell ref="B4:J4"/>
    <mergeCell ref="A165:F165"/>
    <mergeCell ref="A158:F158"/>
    <mergeCell ref="A147:F147"/>
    <mergeCell ref="A148:F148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66:F166"/>
    <mergeCell ref="A159:F159"/>
    <mergeCell ref="A160:F160"/>
    <mergeCell ref="A161:F161"/>
    <mergeCell ref="A162:F162"/>
    <mergeCell ref="A163:F163"/>
    <mergeCell ref="A164:F164"/>
    <mergeCell ref="A157:F157"/>
    <mergeCell ref="A146:F146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34:F134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22:F122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10:F110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98:F98"/>
    <mergeCell ref="A5:J5"/>
    <mergeCell ref="A28:I28"/>
    <mergeCell ref="A42:I42"/>
    <mergeCell ref="A91:F91"/>
    <mergeCell ref="A92:F92"/>
    <mergeCell ref="A93:F93"/>
    <mergeCell ref="A94:F94"/>
    <mergeCell ref="A95:F95"/>
    <mergeCell ref="A96:F96"/>
    <mergeCell ref="A97:F97"/>
  </mergeCells>
  <dataValidations count="4">
    <dataValidation type="list" allowBlank="1" sqref="D44:D78 D30:D33 D7:D13" xr:uid="{9D49FE90-77B0-4BBD-B86A-21FBE6ABF41D}">
      <formula1>"AGP,CLH,CLT,COM,CTD,CTI,DES,DISP,ELE,ESG,EST,EXM,EXQ,EXR,FRQ,REV,VAGO"</formula1>
    </dataValidation>
    <dataValidation type="list" allowBlank="1" sqref="B44:B78" xr:uid="{A29D18DB-A8EB-417C-8347-5B85BF3EEA35}">
      <formula1>"FGS-1,FGS-2,FGS-3,FGA-1,FGA-2,FGA-3"</formula1>
    </dataValidation>
    <dataValidation type="list" allowBlank="1" sqref="B30:B33" xr:uid="{6B05CE90-790A-4E09-8C66-CD4771097C51}">
      <formula1>"FDA,FDA-1,FDA-2,FDA-3,FDA-4"</formula1>
    </dataValidation>
    <dataValidation type="list" allowBlank="1" sqref="B7:B13" xr:uid="{16FD8464-F56B-4784-8B36-EB3B1DA730B3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5B87-9E26-4E0E-A131-3722CF6DFF58}">
  <dimension ref="A1:AA179"/>
  <sheetViews>
    <sheetView workbookViewId="0">
      <selection sqref="A1:XFD2"/>
    </sheetView>
  </sheetViews>
  <sheetFormatPr defaultRowHeight="15" x14ac:dyDescent="0.25"/>
  <cols>
    <col min="1" max="1" width="55.140625" customWidth="1"/>
    <col min="3" max="3" width="12" customWidth="1"/>
    <col min="6" max="6" width="48" customWidth="1"/>
    <col min="7" max="7" width="13.140625" customWidth="1"/>
    <col min="8" max="8" width="15.140625" customWidth="1"/>
    <col min="9" max="9" width="11.7109375" customWidth="1"/>
    <col min="10" max="10" width="11.5703125" customWidth="1"/>
  </cols>
  <sheetData>
    <row r="1" spans="1:27" ht="21" x14ac:dyDescent="0.35">
      <c r="A1" s="194" t="s">
        <v>368</v>
      </c>
      <c r="B1" s="195"/>
      <c r="C1" s="195"/>
      <c r="D1" s="195"/>
      <c r="E1" s="195"/>
      <c r="F1" s="195"/>
      <c r="G1" s="195"/>
      <c r="H1" s="195"/>
      <c r="I1" s="195"/>
      <c r="J1" s="19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x14ac:dyDescent="0.25">
      <c r="A3" s="1" t="s">
        <v>384</v>
      </c>
      <c r="B3" s="147" t="s">
        <v>11</v>
      </c>
      <c r="C3" s="128"/>
      <c r="D3" s="128"/>
      <c r="E3" s="128"/>
      <c r="F3" s="128"/>
      <c r="G3" s="128"/>
      <c r="H3" s="128"/>
      <c r="I3" s="128"/>
      <c r="J3" s="129"/>
    </row>
    <row r="4" spans="1:27" x14ac:dyDescent="0.25">
      <c r="A4" s="127" t="s">
        <v>12</v>
      </c>
      <c r="B4" s="128"/>
      <c r="C4" s="128"/>
      <c r="D4" s="128"/>
      <c r="E4" s="128"/>
      <c r="F4" s="128"/>
      <c r="G4" s="128"/>
      <c r="H4" s="128"/>
      <c r="I4" s="128"/>
      <c r="J4" s="129"/>
    </row>
    <row r="5" spans="1:27" ht="22.5" x14ac:dyDescent="0.25">
      <c r="A5" s="63" t="s">
        <v>13</v>
      </c>
      <c r="B5" s="64" t="s">
        <v>14</v>
      </c>
      <c r="C5" s="64" t="s">
        <v>15</v>
      </c>
      <c r="D5" s="64" t="s">
        <v>16</v>
      </c>
      <c r="E5" s="64" t="s">
        <v>17</v>
      </c>
      <c r="F5" s="63" t="s">
        <v>18</v>
      </c>
      <c r="G5" s="64" t="s">
        <v>19</v>
      </c>
      <c r="H5" s="64" t="s">
        <v>20</v>
      </c>
      <c r="I5" s="64" t="s">
        <v>21</v>
      </c>
      <c r="J5" s="64" t="s">
        <v>281</v>
      </c>
    </row>
    <row r="6" spans="1:27" x14ac:dyDescent="0.25">
      <c r="A6" s="65" t="s">
        <v>282</v>
      </c>
      <c r="B6" s="66" t="s">
        <v>0</v>
      </c>
      <c r="C6" s="67" t="s">
        <v>338</v>
      </c>
      <c r="D6" s="67" t="s">
        <v>24</v>
      </c>
      <c r="E6" s="68">
        <v>1</v>
      </c>
      <c r="F6" s="69" t="s">
        <v>284</v>
      </c>
      <c r="G6" s="70">
        <v>0</v>
      </c>
      <c r="H6" s="70">
        <v>8479.33</v>
      </c>
      <c r="I6" s="70">
        <v>9360</v>
      </c>
      <c r="J6" s="71">
        <v>17839.330000000002</v>
      </c>
    </row>
    <row r="7" spans="1:27" x14ac:dyDescent="0.25">
      <c r="A7" s="65" t="s">
        <v>285</v>
      </c>
      <c r="B7" s="66" t="s">
        <v>2</v>
      </c>
      <c r="C7" s="67" t="s">
        <v>27</v>
      </c>
      <c r="D7" s="67" t="s">
        <v>28</v>
      </c>
      <c r="E7" s="68">
        <v>1</v>
      </c>
      <c r="F7" s="69" t="s">
        <v>370</v>
      </c>
      <c r="G7" s="70">
        <v>0</v>
      </c>
      <c r="H7" s="70">
        <v>1079.06</v>
      </c>
      <c r="I7" s="70">
        <v>4316.21</v>
      </c>
      <c r="J7" s="71">
        <v>5395.27</v>
      </c>
    </row>
    <row r="8" spans="1:27" x14ac:dyDescent="0.25">
      <c r="A8" s="65" t="s">
        <v>38</v>
      </c>
      <c r="B8" s="67" t="s">
        <v>2</v>
      </c>
      <c r="C8" s="67" t="s">
        <v>39</v>
      </c>
      <c r="D8" s="67" t="s">
        <v>28</v>
      </c>
      <c r="E8" s="68">
        <v>1</v>
      </c>
      <c r="F8" s="69" t="s">
        <v>339</v>
      </c>
      <c r="G8" s="70">
        <v>0</v>
      </c>
      <c r="H8" s="70">
        <v>1079.06</v>
      </c>
      <c r="I8" s="70">
        <v>4316.21</v>
      </c>
      <c r="J8" s="71">
        <v>5395.27</v>
      </c>
    </row>
    <row r="9" spans="1:27" x14ac:dyDescent="0.25">
      <c r="A9" s="65" t="s">
        <v>288</v>
      </c>
      <c r="B9" s="66" t="s">
        <v>8</v>
      </c>
      <c r="C9" s="67" t="s">
        <v>37</v>
      </c>
      <c r="D9" s="67" t="s">
        <v>28</v>
      </c>
      <c r="E9" s="68">
        <v>1</v>
      </c>
      <c r="F9" s="69" t="s">
        <v>310</v>
      </c>
      <c r="G9" s="70">
        <v>0</v>
      </c>
      <c r="H9" s="70">
        <v>700.75</v>
      </c>
      <c r="I9" s="70">
        <v>3083.01</v>
      </c>
      <c r="J9" s="71">
        <v>3783.76</v>
      </c>
    </row>
    <row r="10" spans="1:27" x14ac:dyDescent="0.25">
      <c r="A10" s="65" t="s">
        <v>290</v>
      </c>
      <c r="B10" s="66" t="s">
        <v>8</v>
      </c>
      <c r="C10" s="67" t="s">
        <v>35</v>
      </c>
      <c r="D10" s="67" t="s">
        <v>28</v>
      </c>
      <c r="E10" s="68">
        <v>1</v>
      </c>
      <c r="F10" s="69" t="s">
        <v>311</v>
      </c>
      <c r="G10" s="70">
        <v>0</v>
      </c>
      <c r="H10" s="70">
        <v>700.75</v>
      </c>
      <c r="I10" s="70">
        <v>3083.01</v>
      </c>
      <c r="J10" s="71">
        <v>3783.76</v>
      </c>
    </row>
    <row r="11" spans="1:27" x14ac:dyDescent="0.25">
      <c r="A11" s="65" t="s">
        <v>268</v>
      </c>
      <c r="B11" s="66" t="s">
        <v>9</v>
      </c>
      <c r="C11" s="67" t="s">
        <v>30</v>
      </c>
      <c r="D11" s="67" t="s">
        <v>28</v>
      </c>
      <c r="E11" s="68">
        <v>1</v>
      </c>
      <c r="F11" s="69" t="s">
        <v>312</v>
      </c>
      <c r="G11" s="70">
        <v>0</v>
      </c>
      <c r="H11" s="70">
        <v>500.99</v>
      </c>
      <c r="I11" s="70">
        <v>2003.96</v>
      </c>
      <c r="J11" s="71">
        <v>2504.9499999999998</v>
      </c>
    </row>
    <row r="12" spans="1:27" x14ac:dyDescent="0.25">
      <c r="A12" s="65" t="s">
        <v>31</v>
      </c>
      <c r="B12" s="66" t="s">
        <v>32</v>
      </c>
      <c r="C12" s="67" t="s">
        <v>33</v>
      </c>
      <c r="D12" s="67" t="s">
        <v>28</v>
      </c>
      <c r="E12" s="68">
        <v>1</v>
      </c>
      <c r="F12" s="69" t="s">
        <v>313</v>
      </c>
      <c r="G12" s="70">
        <v>0</v>
      </c>
      <c r="H12" s="70">
        <v>308.3</v>
      </c>
      <c r="I12" s="70">
        <v>1233.21</v>
      </c>
      <c r="J12" s="71">
        <v>1541.51</v>
      </c>
    </row>
    <row r="13" spans="1:27" ht="33.75" x14ac:dyDescent="0.25">
      <c r="A13" s="72" t="s">
        <v>40</v>
      </c>
      <c r="B13" s="72" t="s">
        <v>41</v>
      </c>
      <c r="C13" s="73" t="s">
        <v>42</v>
      </c>
      <c r="D13" s="73" t="s">
        <v>43</v>
      </c>
      <c r="E13" s="73" t="s">
        <v>44</v>
      </c>
      <c r="F13" s="74"/>
      <c r="G13" s="73" t="s">
        <v>45</v>
      </c>
      <c r="H13" s="73" t="s">
        <v>46</v>
      </c>
      <c r="I13" s="73" t="s">
        <v>47</v>
      </c>
      <c r="J13" s="56"/>
    </row>
    <row r="14" spans="1:27" ht="13.15" customHeight="1" x14ac:dyDescent="0.25">
      <c r="A14" s="75" t="s">
        <v>48</v>
      </c>
      <c r="B14" s="76" t="s">
        <v>49</v>
      </c>
      <c r="C14" s="77">
        <f ca="1">SUMIFS($E$12:$E$15,$B$12:$B$15,"DAS",$D$12:$D$15,"&lt;&gt;VAGO")</f>
        <v>0</v>
      </c>
      <c r="D14" s="77">
        <f ca="1">SUMIFS($E$12:$E$15,$B$12:$B$15,"DAS",$D$12:$D$15,"VAGO")</f>
        <v>0</v>
      </c>
      <c r="E14" s="77">
        <f t="shared" ref="E14:E24" ca="1" si="0">C14+D14</f>
        <v>0</v>
      </c>
      <c r="F14" s="78"/>
      <c r="G14" s="79">
        <f ca="1">SUMIF($B$12:$B$15,"DAS",$G$12:$G$15)</f>
        <v>0</v>
      </c>
      <c r="H14" s="79">
        <f ca="1">SUMIF($B$12:$B$15,"DAS",$H$12:$H$15)</f>
        <v>0</v>
      </c>
      <c r="I14" s="79">
        <f ca="1">SUMIF($B$12:$B$15,"DAS",$I$12:$I$15)</f>
        <v>0</v>
      </c>
      <c r="J14" s="56"/>
    </row>
    <row r="15" spans="1:27" ht="13.15" customHeight="1" x14ac:dyDescent="0.25">
      <c r="A15" s="75" t="s">
        <v>50</v>
      </c>
      <c r="B15" s="76" t="s">
        <v>0</v>
      </c>
      <c r="C15" s="77">
        <v>1</v>
      </c>
      <c r="D15" s="77">
        <f ca="1">SUMIFS($E$12:$E$15,$B$12:$B$15,"DAS-1",$D$12:$D$15,"VAGO")</f>
        <v>0</v>
      </c>
      <c r="E15" s="77">
        <f t="shared" ca="1" si="0"/>
        <v>1</v>
      </c>
      <c r="F15" s="61"/>
      <c r="G15" s="79">
        <f ca="1">SUMIF($B$12:$B$15,"DAS-1",$G$12:$G$15)</f>
        <v>0</v>
      </c>
      <c r="H15" s="80">
        <v>8479.33</v>
      </c>
      <c r="I15" s="80">
        <v>9360</v>
      </c>
      <c r="J15" s="56"/>
    </row>
    <row r="16" spans="1:27" ht="13.15" customHeight="1" x14ac:dyDescent="0.25">
      <c r="A16" s="75" t="s">
        <v>51</v>
      </c>
      <c r="B16" s="76" t="s">
        <v>52</v>
      </c>
      <c r="C16" s="77">
        <f>SUMIFS($E$12:$E$15,$B$12:$B$15,"DAS-2",$D$12:$D$15,"&lt;&gt;VAGO")</f>
        <v>0</v>
      </c>
      <c r="D16" s="77">
        <v>0</v>
      </c>
      <c r="E16" s="77">
        <f t="shared" si="0"/>
        <v>0</v>
      </c>
      <c r="F16" s="61"/>
      <c r="G16" s="79">
        <f>SUMIF($B$12:$B$15,"DAS-2",$G$12:$G$15)</f>
        <v>0</v>
      </c>
      <c r="H16" s="79">
        <f>SUMIF($B$12:$B$15,"DAS-2",$H$12:$H$15)</f>
        <v>0</v>
      </c>
      <c r="I16" s="79">
        <f>SUMIF($B$12:$B$15,"DAS-2",$I$12:$I$15)</f>
        <v>0</v>
      </c>
      <c r="J16" s="56"/>
    </row>
    <row r="17" spans="1:10" ht="13.15" customHeight="1" x14ac:dyDescent="0.25">
      <c r="A17" s="75" t="s">
        <v>53</v>
      </c>
      <c r="B17" s="76" t="s">
        <v>54</v>
      </c>
      <c r="C17" s="77">
        <f>SUMIFS($E$12:$E$15,$B$12:$B$15,"DAS-3",$D$12:$D$15,"&lt;&gt;VAGO")</f>
        <v>0</v>
      </c>
      <c r="D17" s="77">
        <f>SUMIFS($E$12:$E$15,$B$12:$B$15,"DAS-3",$D$12:$D$15,"VAGO")</f>
        <v>0</v>
      </c>
      <c r="E17" s="77">
        <f t="shared" si="0"/>
        <v>0</v>
      </c>
      <c r="F17" s="61"/>
      <c r="G17" s="79">
        <f>SUMIF($B$12:$B$15,"DAS-3",$G$12:$G$15)</f>
        <v>0</v>
      </c>
      <c r="H17" s="79">
        <f>SUMIF($B$12:$B$15,"DAS-3",$H$12:$H$15)</f>
        <v>0</v>
      </c>
      <c r="I17" s="79">
        <f>SUMIF($B$12:$B$15,"DAS-3",$I$12:$I$15)</f>
        <v>0</v>
      </c>
      <c r="J17" s="56"/>
    </row>
    <row r="18" spans="1:10" ht="13.15" customHeight="1" x14ac:dyDescent="0.25">
      <c r="A18" s="81" t="s">
        <v>55</v>
      </c>
      <c r="B18" s="76" t="s">
        <v>56</v>
      </c>
      <c r="C18" s="77">
        <f>SUMIFS($E$12:$E$15,$B$12:$B$15,"DAS-4",$D$12:$D$15,"&lt;&gt;VAGO")</f>
        <v>0</v>
      </c>
      <c r="D18" s="77">
        <f>SUMIFS($E$12:$E$15,$B$12:$B$15,"DAS-4",$D$12:$D$15,"VAGO")</f>
        <v>0</v>
      </c>
      <c r="E18" s="77">
        <f t="shared" si="0"/>
        <v>0</v>
      </c>
      <c r="F18" s="82"/>
      <c r="G18" s="79">
        <f>SUMIF($B$12:$B$15,"DAS-4",$G$12:$G$15)</f>
        <v>0</v>
      </c>
      <c r="H18" s="79">
        <f>SUMIF($B$12:$B$15,"DAS-4",$H$12:$H$15)</f>
        <v>0</v>
      </c>
      <c r="I18" s="79">
        <f>SUMIF($B$12:$B$15,"DAS-4",$I$12:$I$15)</f>
        <v>0</v>
      </c>
      <c r="J18" s="56"/>
    </row>
    <row r="19" spans="1:10" ht="13.15" customHeight="1" x14ac:dyDescent="0.25">
      <c r="A19" s="81" t="s">
        <v>57</v>
      </c>
      <c r="B19" s="76" t="s">
        <v>2</v>
      </c>
      <c r="C19" s="77">
        <v>2</v>
      </c>
      <c r="D19" s="77">
        <v>0</v>
      </c>
      <c r="E19" s="77">
        <v>2</v>
      </c>
      <c r="F19" s="82"/>
      <c r="G19" s="79">
        <f>SUMIF($B$12:$B$15,"DAS-5",$G$12:$G$15)</f>
        <v>0</v>
      </c>
      <c r="H19" s="80">
        <v>2079.12</v>
      </c>
      <c r="I19" s="80">
        <v>8632.42</v>
      </c>
      <c r="J19" s="56"/>
    </row>
    <row r="20" spans="1:10" ht="13.15" customHeight="1" x14ac:dyDescent="0.25">
      <c r="A20" s="81" t="s">
        <v>58</v>
      </c>
      <c r="B20" s="76" t="s">
        <v>59</v>
      </c>
      <c r="C20" s="77">
        <f>SUMIFS($E$12:$E$15,$B$12:$B$15,"CAA-1",$D$12:$D$15,"&lt;&gt;VAGO")</f>
        <v>0</v>
      </c>
      <c r="D20" s="77">
        <f>SUMIFS($E$12:$E$15,$B$12:$B$15,"CAA-1",$D$12:$D$15,"VAGO")</f>
        <v>0</v>
      </c>
      <c r="E20" s="77">
        <f t="shared" si="0"/>
        <v>0</v>
      </c>
      <c r="F20" s="82"/>
      <c r="G20" s="79">
        <f>SUMIF($B$12:$B$15,"CAA-1",$G$12:$G$15)</f>
        <v>0</v>
      </c>
      <c r="H20" s="79">
        <f>SUMIF($B$12:$B$15,"CAA-1",$H$12:$H$15)</f>
        <v>0</v>
      </c>
      <c r="I20" s="79">
        <f>SUMIF($B$12:$B$15,"CAA-1",$I$12:$I$15)</f>
        <v>0</v>
      </c>
      <c r="J20" s="56"/>
    </row>
    <row r="21" spans="1:10" ht="13.15" customHeight="1" x14ac:dyDescent="0.25">
      <c r="A21" s="81" t="s">
        <v>60</v>
      </c>
      <c r="B21" s="76" t="s">
        <v>8</v>
      </c>
      <c r="C21" s="77">
        <v>2</v>
      </c>
      <c r="D21" s="77">
        <v>0</v>
      </c>
      <c r="E21" s="77">
        <v>2</v>
      </c>
      <c r="F21" s="82"/>
      <c r="G21" s="79">
        <f>SUMIF($B$12:$B$15,"CAA-2",$G$12:$G$15)</f>
        <v>0</v>
      </c>
      <c r="H21" s="80">
        <v>1401.5</v>
      </c>
      <c r="I21" s="80">
        <v>6166.02</v>
      </c>
      <c r="J21" s="56"/>
    </row>
    <row r="22" spans="1:10" ht="13.15" customHeight="1" x14ac:dyDescent="0.25">
      <c r="A22" s="81" t="s">
        <v>61</v>
      </c>
      <c r="B22" s="76" t="s">
        <v>9</v>
      </c>
      <c r="C22" s="77">
        <v>1</v>
      </c>
      <c r="D22" s="77">
        <v>0</v>
      </c>
      <c r="E22" s="77">
        <f t="shared" si="0"/>
        <v>1</v>
      </c>
      <c r="F22" s="61" t="s">
        <v>269</v>
      </c>
      <c r="G22" s="79">
        <f>SUMIF($B$12:$B$15,"CAA-3",$G$12:$G$15)</f>
        <v>0</v>
      </c>
      <c r="H22" s="80">
        <v>500.99</v>
      </c>
      <c r="I22" s="80">
        <v>2003.96</v>
      </c>
      <c r="J22" s="56"/>
    </row>
    <row r="23" spans="1:10" ht="13.15" customHeight="1" x14ac:dyDescent="0.25">
      <c r="A23" s="81" t="s">
        <v>62</v>
      </c>
      <c r="B23" s="76" t="s">
        <v>32</v>
      </c>
      <c r="C23" s="77">
        <v>1</v>
      </c>
      <c r="D23" s="77">
        <v>0</v>
      </c>
      <c r="E23" s="77">
        <f t="shared" si="0"/>
        <v>1</v>
      </c>
      <c r="F23" s="61"/>
      <c r="G23" s="79">
        <f>SUMIF($B$12:$B$15,"CAA-4",$G$12:$G$15)</f>
        <v>0</v>
      </c>
      <c r="H23" s="79">
        <f>SUMIF($B$12:$B$15,"CAA-4",$H$12:$H$15)</f>
        <v>308.3</v>
      </c>
      <c r="I23" s="79">
        <f>SUMIF($B$12:$B$15,"CAA-4",$I$12:$I$15)</f>
        <v>1233.21</v>
      </c>
      <c r="J23" s="56"/>
    </row>
    <row r="24" spans="1:10" ht="13.15" customHeight="1" x14ac:dyDescent="0.25">
      <c r="A24" s="81" t="s">
        <v>63</v>
      </c>
      <c r="B24" s="76" t="s">
        <v>64</v>
      </c>
      <c r="C24" s="77">
        <f>SUMIFS($E$12:$E$15,$B$12:$B$15,"CAA-5",$D$12:$D$15,"&lt;&gt;VAGO")</f>
        <v>0</v>
      </c>
      <c r="D24" s="77">
        <f>SUMIFS($E$12:$E$15,$B$12:$B$15,"CAA-5",$D$12:$D$15,"VAGO")</f>
        <v>0</v>
      </c>
      <c r="E24" s="77">
        <f t="shared" si="0"/>
        <v>0</v>
      </c>
      <c r="F24" s="61"/>
      <c r="G24" s="79">
        <f>SUMIF($B$12:$B$15,"CAA-5",$G$12:$G$15)</f>
        <v>0</v>
      </c>
      <c r="H24" s="79">
        <f>SUMIF($B$12:$B$15,"CAA-5",$H$12:$H$15)</f>
        <v>0</v>
      </c>
      <c r="I24" s="79">
        <f>SUMIF($B$12:$B$15,"CAA-5",$I$12:$I$15)</f>
        <v>0</v>
      </c>
      <c r="J24" s="56"/>
    </row>
    <row r="25" spans="1:10" x14ac:dyDescent="0.25">
      <c r="A25" s="72" t="s">
        <v>65</v>
      </c>
      <c r="B25" s="83"/>
      <c r="C25" s="73">
        <v>7</v>
      </c>
      <c r="D25" s="73">
        <v>0</v>
      </c>
      <c r="E25" s="73">
        <f ca="1">SUM(E14:E24)</f>
        <v>7</v>
      </c>
      <c r="F25" s="83"/>
      <c r="G25" s="84">
        <f ca="1">SUM(G14:G24)</f>
        <v>0</v>
      </c>
      <c r="H25" s="84">
        <v>12779.24</v>
      </c>
      <c r="I25" s="84">
        <v>27895.61</v>
      </c>
      <c r="J25" s="56"/>
    </row>
    <row r="26" spans="1:10" x14ac:dyDescent="0.25">
      <c r="A26" s="85"/>
      <c r="B26" s="85"/>
      <c r="C26" s="85"/>
      <c r="D26" s="85"/>
      <c r="E26" s="85"/>
      <c r="F26" s="85"/>
      <c r="G26" s="85"/>
      <c r="H26" s="86"/>
      <c r="I26" s="86"/>
      <c r="J26" s="56"/>
    </row>
    <row r="27" spans="1:10" x14ac:dyDescent="0.25">
      <c r="A27" s="171" t="s">
        <v>66</v>
      </c>
      <c r="B27" s="125"/>
      <c r="C27" s="125"/>
      <c r="D27" s="125"/>
      <c r="E27" s="125"/>
      <c r="F27" s="125"/>
      <c r="G27" s="125"/>
      <c r="H27" s="125"/>
      <c r="I27" s="126"/>
      <c r="J27" s="56"/>
    </row>
    <row r="28" spans="1:10" ht="22.5" x14ac:dyDescent="0.25">
      <c r="A28" s="64" t="s">
        <v>67</v>
      </c>
      <c r="B28" s="64" t="s">
        <v>68</v>
      </c>
      <c r="C28" s="64" t="s">
        <v>69</v>
      </c>
      <c r="D28" s="64" t="s">
        <v>70</v>
      </c>
      <c r="E28" s="64" t="s">
        <v>71</v>
      </c>
      <c r="F28" s="64" t="s">
        <v>72</v>
      </c>
      <c r="G28" s="64" t="s">
        <v>73</v>
      </c>
      <c r="H28" s="64" t="s">
        <v>74</v>
      </c>
      <c r="I28" s="64" t="s">
        <v>75</v>
      </c>
      <c r="J28" s="56"/>
    </row>
    <row r="29" spans="1:10" ht="13.15" customHeight="1" x14ac:dyDescent="0.25">
      <c r="A29" s="54" t="s">
        <v>81</v>
      </c>
      <c r="B29" s="87" t="s">
        <v>3</v>
      </c>
      <c r="C29" s="67" t="s">
        <v>35</v>
      </c>
      <c r="D29" s="67" t="s">
        <v>24</v>
      </c>
      <c r="E29" s="76">
        <v>1</v>
      </c>
      <c r="F29" s="114" t="s">
        <v>25</v>
      </c>
      <c r="G29" s="79">
        <v>8903.2999999999993</v>
      </c>
      <c r="H29" s="79">
        <v>4316.21</v>
      </c>
      <c r="I29" s="79">
        <v>13219.51</v>
      </c>
      <c r="J29" s="56"/>
    </row>
    <row r="30" spans="1:10" ht="13.15" customHeight="1" x14ac:dyDescent="0.25">
      <c r="A30" s="54" t="s">
        <v>77</v>
      </c>
      <c r="B30" s="87" t="s">
        <v>3</v>
      </c>
      <c r="C30" s="67" t="s">
        <v>78</v>
      </c>
      <c r="D30" s="67" t="s">
        <v>24</v>
      </c>
      <c r="E30" s="76">
        <v>1</v>
      </c>
      <c r="F30" s="88" t="s">
        <v>295</v>
      </c>
      <c r="G30" s="89">
        <v>5404.89</v>
      </c>
      <c r="H30" s="79">
        <v>1726.48</v>
      </c>
      <c r="I30" s="79">
        <v>7131.37</v>
      </c>
      <c r="J30" s="56"/>
    </row>
    <row r="31" spans="1:10" ht="13.15" customHeight="1" x14ac:dyDescent="0.25">
      <c r="A31" s="54" t="s">
        <v>79</v>
      </c>
      <c r="B31" s="87" t="s">
        <v>3</v>
      </c>
      <c r="C31" s="67" t="s">
        <v>80</v>
      </c>
      <c r="D31" s="67" t="s">
        <v>24</v>
      </c>
      <c r="E31" s="76">
        <v>1</v>
      </c>
      <c r="F31" s="54" t="s">
        <v>296</v>
      </c>
      <c r="G31" s="79">
        <v>7691</v>
      </c>
      <c r="H31" s="79">
        <v>3884.59</v>
      </c>
      <c r="I31" s="79">
        <v>11575.59</v>
      </c>
      <c r="J31" s="56"/>
    </row>
    <row r="32" spans="1:10" ht="13.15" customHeight="1" x14ac:dyDescent="0.25">
      <c r="A32" s="54" t="s">
        <v>76</v>
      </c>
      <c r="B32" s="87" t="s">
        <v>1</v>
      </c>
      <c r="C32" s="67" t="s">
        <v>35</v>
      </c>
      <c r="D32" s="67" t="s">
        <v>24</v>
      </c>
      <c r="E32" s="76">
        <v>1</v>
      </c>
      <c r="F32" s="88" t="s">
        <v>297</v>
      </c>
      <c r="G32" s="79">
        <v>7691</v>
      </c>
      <c r="H32" s="79">
        <v>3083.01</v>
      </c>
      <c r="I32" s="79">
        <v>10777.01</v>
      </c>
      <c r="J32" s="56"/>
    </row>
    <row r="33" spans="1:10" ht="33.75" x14ac:dyDescent="0.25">
      <c r="A33" s="72" t="s">
        <v>82</v>
      </c>
      <c r="B33" s="72" t="s">
        <v>83</v>
      </c>
      <c r="C33" s="73" t="s">
        <v>84</v>
      </c>
      <c r="D33" s="73" t="s">
        <v>85</v>
      </c>
      <c r="E33" s="73" t="s">
        <v>86</v>
      </c>
      <c r="F33" s="90"/>
      <c r="G33" s="73" t="s">
        <v>87</v>
      </c>
      <c r="H33" s="73" t="s">
        <v>88</v>
      </c>
      <c r="I33" s="73" t="s">
        <v>89</v>
      </c>
      <c r="J33" s="56"/>
    </row>
    <row r="34" spans="1:10" ht="13.15" customHeight="1" x14ac:dyDescent="0.25">
      <c r="A34" s="75" t="s">
        <v>90</v>
      </c>
      <c r="B34" s="91" t="s">
        <v>91</v>
      </c>
      <c r="C34" s="77">
        <f ca="1">SUMIFS($E$29:$E$35,$B$29:$B$35,"FDA",$D$29:$D$35,"&lt;&gt;VAGO")</f>
        <v>0</v>
      </c>
      <c r="D34" s="77">
        <f ca="1">SUMIFS($E$29:$E$35,$B$29:$B$35,"FDA",$D$29:$D$35,"VAGO")</f>
        <v>0</v>
      </c>
      <c r="E34" s="77">
        <f t="shared" ref="E34:E38" ca="1" si="1">C34+D34</f>
        <v>0</v>
      </c>
      <c r="F34" s="78"/>
      <c r="G34" s="92">
        <f ca="1">SUMIF($B$29:$B$35,"FDA",$G$29:$G$35)</f>
        <v>0</v>
      </c>
      <c r="H34" s="92">
        <f ca="1">SUMIF($B$29:$B$35,"FDA",$H$29:$H$35)</f>
        <v>0</v>
      </c>
      <c r="I34" s="92">
        <f ca="1">SUMIF($B$29:$B$35,"FDA",$I$29:$I$35)</f>
        <v>0</v>
      </c>
      <c r="J34" s="56"/>
    </row>
    <row r="35" spans="1:10" ht="13.15" customHeight="1" x14ac:dyDescent="0.25">
      <c r="A35" s="75" t="s">
        <v>92</v>
      </c>
      <c r="B35" s="91" t="s">
        <v>93</v>
      </c>
      <c r="C35" s="77">
        <f ca="1">SUMIFS($E$29:$E$35,$B$29:$B$35,"FDA-1",$D$29:$D$35,"&lt;&gt;VAGO")</f>
        <v>0</v>
      </c>
      <c r="D35" s="77">
        <f ca="1">SUMIFS($E$29:$E$35,$B$29:$B$35,"FDA-1",$D$29:$D$35,"VAGO")</f>
        <v>0</v>
      </c>
      <c r="E35" s="77">
        <f t="shared" ca="1" si="1"/>
        <v>0</v>
      </c>
      <c r="F35" s="78"/>
      <c r="G35" s="92">
        <f ca="1">SUMIF($B$29:$B$35,"FDA-1",$G$29:$G$35)</f>
        <v>0</v>
      </c>
      <c r="H35" s="92">
        <f ca="1">SUMIF($B$29:$B$35,"FDA-1",$H$29:$H$35)</f>
        <v>0</v>
      </c>
      <c r="I35" s="92">
        <f ca="1">SUMIF($B$29:$B$35,"FDA-1",$I$29:$I$35)</f>
        <v>0</v>
      </c>
      <c r="J35" s="56"/>
    </row>
    <row r="36" spans="1:10" ht="13.15" customHeight="1" x14ac:dyDescent="0.25">
      <c r="A36" s="75" t="s">
        <v>94</v>
      </c>
      <c r="B36" s="91" t="s">
        <v>95</v>
      </c>
      <c r="C36" s="77">
        <f>SUMIFS($E$29:$E$35,$B$29:$B$35,"FDA-2",$D$29:$D$35,"&lt;&gt;VAGO")</f>
        <v>0</v>
      </c>
      <c r="D36" s="77">
        <f>SUMIFS($E$29:$E$35,$B$29:$B$35,"FDA-2",$D$29:$D$35,"VAGO")</f>
        <v>0</v>
      </c>
      <c r="E36" s="77">
        <f t="shared" si="1"/>
        <v>0</v>
      </c>
      <c r="F36" s="61"/>
      <c r="G36" s="92">
        <f>SUMIF($B$29:$B$35,"FDA-2",$G$29:$G$35)</f>
        <v>0</v>
      </c>
      <c r="H36" s="92">
        <f>SUMIF($B$29:$B$35,"FDA-2",$H$29:$H$35)</f>
        <v>0</v>
      </c>
      <c r="I36" s="92">
        <f>SUMIF($B$29:$B$35,"FDA-2",$I$29:$I$35)</f>
        <v>0</v>
      </c>
      <c r="J36" s="56"/>
    </row>
    <row r="37" spans="1:10" ht="13.15" customHeight="1" x14ac:dyDescent="0.25">
      <c r="A37" s="75" t="s">
        <v>96</v>
      </c>
      <c r="B37" s="91" t="s">
        <v>3</v>
      </c>
      <c r="C37" s="77">
        <f>SUMIFS($E$29:$E$35,$B$29:$B$35,"FDA-3",$D$29:$D$35,"&lt;&gt;VAGO")</f>
        <v>3</v>
      </c>
      <c r="D37" s="77">
        <f>SUMIFS($E$29:$E$35,$B$29:$B$35,"FDA-3",$D$29:$D$35,"VAGO")</f>
        <v>0</v>
      </c>
      <c r="E37" s="77">
        <f t="shared" si="1"/>
        <v>3</v>
      </c>
      <c r="F37" s="82" t="s">
        <v>371</v>
      </c>
      <c r="G37" s="92">
        <v>21999.19</v>
      </c>
      <c r="H37" s="92">
        <v>9927.2800000000007</v>
      </c>
      <c r="I37" s="92">
        <v>31916.47</v>
      </c>
      <c r="J37" s="56"/>
    </row>
    <row r="38" spans="1:10" ht="13.15" customHeight="1" x14ac:dyDescent="0.25">
      <c r="A38" s="75" t="s">
        <v>97</v>
      </c>
      <c r="B38" s="91" t="s">
        <v>1</v>
      </c>
      <c r="C38" s="77">
        <f>SUMIFS($E$29:$E$35,$B$29:$B$35,"FDA-4",$D$29:$D$35,"&lt;&gt;VAGO")</f>
        <v>1</v>
      </c>
      <c r="D38" s="77">
        <f>SUMIFS($E$29:$E$35,$B$29:$B$35,"FDA-4",$D$29:$D$35,"VAGO")</f>
        <v>0</v>
      </c>
      <c r="E38" s="77">
        <f t="shared" si="1"/>
        <v>1</v>
      </c>
      <c r="F38" s="61" t="s">
        <v>299</v>
      </c>
      <c r="G38" s="92">
        <f>SUMIF($B$29:$B$35,"FDA-4",$G$29:$G$35)</f>
        <v>7691</v>
      </c>
      <c r="H38" s="92">
        <f>SUMIF($B$29:$B$35,"FDA-4",$H$29:$H$35)</f>
        <v>3083.01</v>
      </c>
      <c r="I38" s="92">
        <f>SUMIF($B$29:$B$35,"FDA-4",$I$29:$I$35)</f>
        <v>10777.01</v>
      </c>
      <c r="J38" s="56"/>
    </row>
    <row r="39" spans="1:10" ht="69" customHeight="1" x14ac:dyDescent="0.25">
      <c r="A39" s="72" t="s">
        <v>98</v>
      </c>
      <c r="B39" s="90"/>
      <c r="C39" s="73">
        <f t="shared" ref="C39:E39" ca="1" si="2">SUM(C35:C38)</f>
        <v>4</v>
      </c>
      <c r="D39" s="73">
        <f t="shared" ca="1" si="2"/>
        <v>0</v>
      </c>
      <c r="E39" s="73">
        <f t="shared" ca="1" si="2"/>
        <v>4</v>
      </c>
      <c r="F39" s="90"/>
      <c r="G39" s="93">
        <v>29690.19</v>
      </c>
      <c r="H39" s="93">
        <v>13010.29</v>
      </c>
      <c r="I39" s="93">
        <v>42700.480000000003</v>
      </c>
      <c r="J39" s="56"/>
    </row>
    <row r="40" spans="1:10" x14ac:dyDescent="0.25">
      <c r="A40" s="94"/>
      <c r="B40" s="94"/>
      <c r="C40" s="94"/>
      <c r="D40" s="94"/>
      <c r="E40" s="94"/>
      <c r="F40" s="94"/>
      <c r="G40" s="94"/>
      <c r="H40" s="94"/>
      <c r="I40" s="95"/>
      <c r="J40" s="56"/>
    </row>
    <row r="41" spans="1:10" x14ac:dyDescent="0.25">
      <c r="A41" s="171" t="s">
        <v>99</v>
      </c>
      <c r="B41" s="125"/>
      <c r="C41" s="125"/>
      <c r="D41" s="125"/>
      <c r="E41" s="125"/>
      <c r="F41" s="125"/>
      <c r="G41" s="125"/>
      <c r="H41" s="125"/>
      <c r="I41" s="126"/>
      <c r="J41" s="56"/>
    </row>
    <row r="42" spans="1:10" ht="22.5" x14ac:dyDescent="0.25">
      <c r="A42" s="96" t="s">
        <v>100</v>
      </c>
      <c r="B42" s="64" t="s">
        <v>101</v>
      </c>
      <c r="C42" s="64" t="s">
        <v>102</v>
      </c>
      <c r="D42" s="64" t="s">
        <v>103</v>
      </c>
      <c r="E42" s="64" t="s">
        <v>104</v>
      </c>
      <c r="F42" s="64" t="s">
        <v>105</v>
      </c>
      <c r="G42" s="64" t="s">
        <v>106</v>
      </c>
      <c r="H42" s="64" t="s">
        <v>107</v>
      </c>
      <c r="I42" s="64" t="s">
        <v>108</v>
      </c>
      <c r="J42" s="56"/>
    </row>
    <row r="43" spans="1:10" ht="13.15" customHeight="1" x14ac:dyDescent="0.25">
      <c r="A43" s="97" t="s">
        <v>270</v>
      </c>
      <c r="B43" s="98" t="s">
        <v>4</v>
      </c>
      <c r="C43" s="99"/>
      <c r="D43" s="99" t="s">
        <v>24</v>
      </c>
      <c r="E43" s="100">
        <v>1</v>
      </c>
      <c r="F43" s="101" t="s">
        <v>271</v>
      </c>
      <c r="G43" s="102">
        <v>5933.35</v>
      </c>
      <c r="H43" s="102">
        <v>1392.8</v>
      </c>
      <c r="I43" s="92">
        <f>SUM(G43:H43)</f>
        <v>7326.1500000000005</v>
      </c>
      <c r="J43" s="103"/>
    </row>
    <row r="44" spans="1:10" ht="13.15" customHeight="1" x14ac:dyDescent="0.25">
      <c r="A44" s="97" t="s">
        <v>272</v>
      </c>
      <c r="B44" s="98" t="s">
        <v>4</v>
      </c>
      <c r="C44" s="99"/>
      <c r="D44" s="99" t="s">
        <v>24</v>
      </c>
      <c r="E44" s="100">
        <v>1</v>
      </c>
      <c r="F44" s="54" t="s">
        <v>222</v>
      </c>
      <c r="G44" s="102">
        <v>5675.13</v>
      </c>
      <c r="H44" s="102">
        <v>1392.8</v>
      </c>
      <c r="I44" s="92">
        <v>7067.93</v>
      </c>
      <c r="J44" s="103"/>
    </row>
    <row r="45" spans="1:10" ht="13.15" customHeight="1" x14ac:dyDescent="0.25">
      <c r="A45" s="104" t="s">
        <v>236</v>
      </c>
      <c r="B45" s="105" t="s">
        <v>4</v>
      </c>
      <c r="C45" s="105"/>
      <c r="D45" s="67" t="s">
        <v>24</v>
      </c>
      <c r="E45" s="76">
        <v>1</v>
      </c>
      <c r="F45" s="104" t="s">
        <v>218</v>
      </c>
      <c r="G45" s="102">
        <v>8075.56</v>
      </c>
      <c r="H45" s="102">
        <v>1392.8</v>
      </c>
      <c r="I45" s="92">
        <f>SUM(G45:H45)</f>
        <v>9468.36</v>
      </c>
      <c r="J45" s="56"/>
    </row>
    <row r="46" spans="1:10" ht="13.15" customHeight="1" x14ac:dyDescent="0.25">
      <c r="A46" s="54" t="s">
        <v>237</v>
      </c>
      <c r="B46" s="105" t="s">
        <v>4</v>
      </c>
      <c r="C46" s="67"/>
      <c r="D46" s="67" t="s">
        <v>24</v>
      </c>
      <c r="E46" s="76">
        <v>1</v>
      </c>
      <c r="F46" s="54" t="s">
        <v>276</v>
      </c>
      <c r="G46" s="102">
        <v>5250.46</v>
      </c>
      <c r="H46" s="102">
        <v>1392.8</v>
      </c>
      <c r="I46" s="92">
        <f t="shared" ref="I46:I80" si="3">SUM(G46:H46)</f>
        <v>6643.26</v>
      </c>
      <c r="J46" s="56"/>
    </row>
    <row r="47" spans="1:10" ht="13.15" customHeight="1" x14ac:dyDescent="0.25">
      <c r="A47" s="54" t="s">
        <v>238</v>
      </c>
      <c r="B47" s="105" t="s">
        <v>4</v>
      </c>
      <c r="C47" s="67"/>
      <c r="D47" s="67" t="s">
        <v>24</v>
      </c>
      <c r="E47" s="76">
        <v>1</v>
      </c>
      <c r="F47" s="54" t="s">
        <v>356</v>
      </c>
      <c r="G47" s="102">
        <v>5227.96</v>
      </c>
      <c r="H47" s="102">
        <v>1392.8</v>
      </c>
      <c r="I47" s="92">
        <f t="shared" si="3"/>
        <v>6620.76</v>
      </c>
      <c r="J47" s="56"/>
    </row>
    <row r="48" spans="1:10" ht="13.15" customHeight="1" x14ac:dyDescent="0.25">
      <c r="A48" s="54" t="s">
        <v>239</v>
      </c>
      <c r="B48" s="105" t="s">
        <v>4</v>
      </c>
      <c r="C48" s="67"/>
      <c r="D48" s="67" t="s">
        <v>24</v>
      </c>
      <c r="E48" s="76">
        <v>1</v>
      </c>
      <c r="F48" s="54" t="s">
        <v>240</v>
      </c>
      <c r="G48" s="102">
        <v>7691</v>
      </c>
      <c r="H48" s="102">
        <v>1392.8</v>
      </c>
      <c r="I48" s="92">
        <f t="shared" si="3"/>
        <v>9083.7999999999993</v>
      </c>
      <c r="J48" s="56"/>
    </row>
    <row r="49" spans="1:10" ht="13.15" customHeight="1" x14ac:dyDescent="0.25">
      <c r="A49" s="54" t="s">
        <v>241</v>
      </c>
      <c r="B49" s="105" t="s">
        <v>4</v>
      </c>
      <c r="C49" s="67"/>
      <c r="D49" s="67" t="s">
        <v>24</v>
      </c>
      <c r="E49" s="76">
        <v>1</v>
      </c>
      <c r="F49" s="54" t="s">
        <v>109</v>
      </c>
      <c r="G49" s="102">
        <v>8299.11</v>
      </c>
      <c r="H49" s="102">
        <v>1392.8</v>
      </c>
      <c r="I49" s="92">
        <f t="shared" si="3"/>
        <v>9691.91</v>
      </c>
      <c r="J49" s="56"/>
    </row>
    <row r="50" spans="1:10" ht="13.15" customHeight="1" x14ac:dyDescent="0.25">
      <c r="A50" s="54" t="s">
        <v>242</v>
      </c>
      <c r="B50" s="105" t="s">
        <v>4</v>
      </c>
      <c r="C50" s="67"/>
      <c r="D50" s="67" t="s">
        <v>24</v>
      </c>
      <c r="E50" s="76">
        <v>1</v>
      </c>
      <c r="F50" s="54" t="s">
        <v>277</v>
      </c>
      <c r="G50" s="102">
        <v>4902.3900000000003</v>
      </c>
      <c r="H50" s="102">
        <v>1392.8</v>
      </c>
      <c r="I50" s="92">
        <f t="shared" si="3"/>
        <v>6295.1900000000005</v>
      </c>
      <c r="J50" s="56"/>
    </row>
    <row r="51" spans="1:10" ht="13.15" customHeight="1" x14ac:dyDescent="0.25">
      <c r="A51" s="54" t="s">
        <v>243</v>
      </c>
      <c r="B51" s="105" t="s">
        <v>4</v>
      </c>
      <c r="C51" s="67"/>
      <c r="D51" s="67" t="s">
        <v>24</v>
      </c>
      <c r="E51" s="76">
        <v>1</v>
      </c>
      <c r="F51" s="54" t="s">
        <v>111</v>
      </c>
      <c r="G51" s="102">
        <v>7691</v>
      </c>
      <c r="H51" s="102">
        <v>1392.8</v>
      </c>
      <c r="I51" s="92">
        <f t="shared" si="3"/>
        <v>9083.7999999999993</v>
      </c>
      <c r="J51" s="56"/>
    </row>
    <row r="52" spans="1:10" ht="13.15" customHeight="1" x14ac:dyDescent="0.25">
      <c r="A52" s="54" t="s">
        <v>244</v>
      </c>
      <c r="B52" s="105" t="s">
        <v>4</v>
      </c>
      <c r="C52" s="67"/>
      <c r="D52" s="67" t="s">
        <v>24</v>
      </c>
      <c r="E52" s="76">
        <v>1</v>
      </c>
      <c r="F52" s="54" t="s">
        <v>215</v>
      </c>
      <c r="G52" s="102">
        <v>7691</v>
      </c>
      <c r="H52" s="102">
        <v>1392.8</v>
      </c>
      <c r="I52" s="92">
        <f t="shared" si="3"/>
        <v>9083.7999999999993</v>
      </c>
      <c r="J52" s="56"/>
    </row>
    <row r="53" spans="1:10" ht="13.15" customHeight="1" x14ac:dyDescent="0.25">
      <c r="A53" s="54" t="s">
        <v>245</v>
      </c>
      <c r="B53" s="105" t="s">
        <v>4</v>
      </c>
      <c r="C53" s="67"/>
      <c r="D53" s="67" t="s">
        <v>24</v>
      </c>
      <c r="E53" s="76">
        <v>1</v>
      </c>
      <c r="F53" s="54" t="s">
        <v>216</v>
      </c>
      <c r="G53" s="102">
        <v>8075.56</v>
      </c>
      <c r="H53" s="102">
        <v>1392.8</v>
      </c>
      <c r="I53" s="92">
        <f t="shared" si="3"/>
        <v>9468.36</v>
      </c>
      <c r="J53" s="56"/>
    </row>
    <row r="54" spans="1:10" ht="13.15" customHeight="1" x14ac:dyDescent="0.25">
      <c r="A54" s="54" t="s">
        <v>246</v>
      </c>
      <c r="B54" s="105" t="s">
        <v>4</v>
      </c>
      <c r="C54" s="67"/>
      <c r="D54" s="67" t="s">
        <v>24</v>
      </c>
      <c r="E54" s="76">
        <v>1</v>
      </c>
      <c r="F54" s="54" t="s">
        <v>112</v>
      </c>
      <c r="G54" s="102">
        <v>8075.56</v>
      </c>
      <c r="H54" s="102">
        <v>1392.8</v>
      </c>
      <c r="I54" s="92">
        <f t="shared" si="3"/>
        <v>9468.36</v>
      </c>
      <c r="J54" s="56"/>
    </row>
    <row r="55" spans="1:10" ht="13.15" customHeight="1" x14ac:dyDescent="0.25">
      <c r="A55" s="54" t="s">
        <v>247</v>
      </c>
      <c r="B55" s="105" t="s">
        <v>4</v>
      </c>
      <c r="C55" s="67"/>
      <c r="D55" s="67" t="s">
        <v>24</v>
      </c>
      <c r="E55" s="76">
        <v>1</v>
      </c>
      <c r="F55" s="54" t="s">
        <v>219</v>
      </c>
      <c r="G55" s="102">
        <v>7691</v>
      </c>
      <c r="H55" s="102">
        <v>1392.8</v>
      </c>
      <c r="I55" s="92">
        <f t="shared" si="3"/>
        <v>9083.7999999999993</v>
      </c>
      <c r="J55" s="56"/>
    </row>
    <row r="56" spans="1:10" ht="13.15" customHeight="1" x14ac:dyDescent="0.25">
      <c r="A56" s="54" t="s">
        <v>248</v>
      </c>
      <c r="B56" s="105" t="s">
        <v>4</v>
      </c>
      <c r="C56" s="67"/>
      <c r="D56" s="67" t="s">
        <v>24</v>
      </c>
      <c r="E56" s="76">
        <v>1</v>
      </c>
      <c r="F56" s="54" t="s">
        <v>113</v>
      </c>
      <c r="G56" s="102">
        <v>2295.89</v>
      </c>
      <c r="H56" s="102">
        <v>1392.8</v>
      </c>
      <c r="I56" s="92">
        <f t="shared" si="3"/>
        <v>3688.6899999999996</v>
      </c>
      <c r="J56" s="56"/>
    </row>
    <row r="57" spans="1:10" ht="13.15" customHeight="1" x14ac:dyDescent="0.25">
      <c r="A57" s="54" t="s">
        <v>249</v>
      </c>
      <c r="B57" s="105" t="s">
        <v>4</v>
      </c>
      <c r="C57" s="67"/>
      <c r="D57" s="67" t="s">
        <v>24</v>
      </c>
      <c r="E57" s="76">
        <v>1</v>
      </c>
      <c r="F57" s="54" t="s">
        <v>114</v>
      </c>
      <c r="G57" s="102">
        <v>5125.45</v>
      </c>
      <c r="H57" s="102">
        <v>1392.8</v>
      </c>
      <c r="I57" s="92">
        <f>SUM(G57:H57)</f>
        <v>6518.25</v>
      </c>
      <c r="J57" s="56"/>
    </row>
    <row r="58" spans="1:10" ht="13.15" customHeight="1" x14ac:dyDescent="0.25">
      <c r="A58" s="54" t="s">
        <v>250</v>
      </c>
      <c r="B58" s="105" t="s">
        <v>4</v>
      </c>
      <c r="C58" s="67"/>
      <c r="D58" s="67" t="s">
        <v>24</v>
      </c>
      <c r="E58" s="76">
        <v>1</v>
      </c>
      <c r="F58" s="54" t="s">
        <v>337</v>
      </c>
      <c r="G58" s="102">
        <v>5227.96</v>
      </c>
      <c r="H58" s="102">
        <v>1392.8</v>
      </c>
      <c r="I58" s="92">
        <f t="shared" si="3"/>
        <v>6620.76</v>
      </c>
      <c r="J58" s="56"/>
    </row>
    <row r="59" spans="1:10" ht="13.15" customHeight="1" x14ac:dyDescent="0.25">
      <c r="A59" s="54" t="s">
        <v>252</v>
      </c>
      <c r="B59" s="105" t="s">
        <v>4</v>
      </c>
      <c r="C59" s="67"/>
      <c r="D59" s="67" t="s">
        <v>24</v>
      </c>
      <c r="E59" s="76">
        <v>1</v>
      </c>
      <c r="F59" s="54" t="s">
        <v>115</v>
      </c>
      <c r="G59" s="102">
        <v>5933.35</v>
      </c>
      <c r="H59" s="102">
        <v>1392.8</v>
      </c>
      <c r="I59" s="92">
        <f t="shared" si="3"/>
        <v>7326.1500000000005</v>
      </c>
      <c r="J59" s="56"/>
    </row>
    <row r="60" spans="1:10" ht="21.6" customHeight="1" x14ac:dyDescent="0.25">
      <c r="A60" s="54" t="s">
        <v>253</v>
      </c>
      <c r="B60" s="105" t="s">
        <v>4</v>
      </c>
      <c r="C60" s="67"/>
      <c r="D60" s="67" t="s">
        <v>24</v>
      </c>
      <c r="E60" s="76">
        <v>1</v>
      </c>
      <c r="F60" s="54" t="s">
        <v>372</v>
      </c>
      <c r="G60" s="102" t="s">
        <v>373</v>
      </c>
      <c r="H60" s="102" t="s">
        <v>374</v>
      </c>
      <c r="I60" s="92" t="s">
        <v>375</v>
      </c>
      <c r="J60" s="56"/>
    </row>
    <row r="61" spans="1:10" ht="12.6" customHeight="1" x14ac:dyDescent="0.25">
      <c r="A61" s="54" t="s">
        <v>254</v>
      </c>
      <c r="B61" s="105" t="s">
        <v>4</v>
      </c>
      <c r="C61" s="67"/>
      <c r="D61" s="67" t="s">
        <v>24</v>
      </c>
      <c r="E61" s="76">
        <v>1</v>
      </c>
      <c r="F61" s="54" t="s">
        <v>116</v>
      </c>
      <c r="G61" s="102">
        <v>5404.89</v>
      </c>
      <c r="H61" s="102">
        <v>1392.8</v>
      </c>
      <c r="I61" s="92">
        <f t="shared" si="3"/>
        <v>6797.6900000000005</v>
      </c>
      <c r="J61" s="56"/>
    </row>
    <row r="62" spans="1:10" ht="13.15" customHeight="1" x14ac:dyDescent="0.25">
      <c r="A62" s="54" t="s">
        <v>255</v>
      </c>
      <c r="B62" s="105" t="s">
        <v>4</v>
      </c>
      <c r="C62" s="67"/>
      <c r="D62" s="67" t="s">
        <v>24</v>
      </c>
      <c r="E62" s="76">
        <v>1</v>
      </c>
      <c r="F62" s="54" t="s">
        <v>261</v>
      </c>
      <c r="G62" s="102">
        <v>5650.81</v>
      </c>
      <c r="H62" s="102">
        <v>1392.8</v>
      </c>
      <c r="I62" s="92">
        <f t="shared" si="3"/>
        <v>7043.6100000000006</v>
      </c>
      <c r="J62" s="56"/>
    </row>
    <row r="63" spans="1:10" ht="13.15" customHeight="1" x14ac:dyDescent="0.25">
      <c r="A63" s="54" t="s">
        <v>256</v>
      </c>
      <c r="B63" s="105" t="s">
        <v>4</v>
      </c>
      <c r="C63" s="67"/>
      <c r="D63" s="67" t="s">
        <v>117</v>
      </c>
      <c r="E63" s="76">
        <v>1</v>
      </c>
      <c r="F63" s="54" t="s">
        <v>357</v>
      </c>
      <c r="G63" s="102">
        <v>0</v>
      </c>
      <c r="H63" s="102">
        <v>1392.8</v>
      </c>
      <c r="I63" s="92">
        <f t="shared" si="3"/>
        <v>1392.8</v>
      </c>
      <c r="J63" s="56"/>
    </row>
    <row r="64" spans="1:10" ht="13.15" customHeight="1" x14ac:dyDescent="0.25">
      <c r="A64" s="54" t="s">
        <v>258</v>
      </c>
      <c r="B64" s="105" t="s">
        <v>4</v>
      </c>
      <c r="C64" s="67"/>
      <c r="D64" s="67" t="s">
        <v>24</v>
      </c>
      <c r="E64" s="76">
        <v>1</v>
      </c>
      <c r="F64" s="54" t="s">
        <v>232</v>
      </c>
      <c r="G64" s="102">
        <v>8075.56</v>
      </c>
      <c r="H64" s="102">
        <v>1392.8</v>
      </c>
      <c r="I64" s="92">
        <f t="shared" si="3"/>
        <v>9468.36</v>
      </c>
      <c r="J64" s="56"/>
    </row>
    <row r="65" spans="1:10" ht="13.15" customHeight="1" x14ac:dyDescent="0.25">
      <c r="A65" s="54" t="s">
        <v>341</v>
      </c>
      <c r="B65" s="105" t="s">
        <v>4</v>
      </c>
      <c r="C65" s="67"/>
      <c r="D65" s="67" t="s">
        <v>24</v>
      </c>
      <c r="E65" s="76">
        <v>1</v>
      </c>
      <c r="F65" s="54" t="s">
        <v>235</v>
      </c>
      <c r="G65" s="102">
        <v>2531.2199999999998</v>
      </c>
      <c r="H65" s="102">
        <v>1392.8</v>
      </c>
      <c r="I65" s="92">
        <f t="shared" si="3"/>
        <v>3924.0199999999995</v>
      </c>
      <c r="J65" s="56"/>
    </row>
    <row r="66" spans="1:10" ht="21.6" customHeight="1" x14ac:dyDescent="0.25">
      <c r="A66" s="54" t="s">
        <v>259</v>
      </c>
      <c r="B66" s="105" t="s">
        <v>5</v>
      </c>
      <c r="C66" s="67"/>
      <c r="D66" s="67" t="s">
        <v>24</v>
      </c>
      <c r="E66" s="76">
        <v>1</v>
      </c>
      <c r="F66" s="54" t="s">
        <v>334</v>
      </c>
      <c r="G66" s="102" t="s">
        <v>376</v>
      </c>
      <c r="H66" s="102" t="s">
        <v>318</v>
      </c>
      <c r="I66" s="92" t="s">
        <v>303</v>
      </c>
      <c r="J66" s="56"/>
    </row>
    <row r="67" spans="1:10" ht="13.15" customHeight="1" x14ac:dyDescent="0.25">
      <c r="A67" s="54" t="s">
        <v>259</v>
      </c>
      <c r="B67" s="105" t="s">
        <v>5</v>
      </c>
      <c r="C67" s="67"/>
      <c r="D67" s="67" t="s">
        <v>24</v>
      </c>
      <c r="E67" s="76">
        <v>1</v>
      </c>
      <c r="F67" s="104" t="s">
        <v>264</v>
      </c>
      <c r="G67" s="102">
        <v>5404.89</v>
      </c>
      <c r="H67" s="102">
        <v>849.76</v>
      </c>
      <c r="I67" s="92">
        <v>6254.65</v>
      </c>
      <c r="J67" s="56"/>
    </row>
    <row r="68" spans="1:10" ht="13.15" customHeight="1" x14ac:dyDescent="0.25">
      <c r="A68" s="54" t="s">
        <v>259</v>
      </c>
      <c r="B68" s="105" t="s">
        <v>5</v>
      </c>
      <c r="C68" s="67"/>
      <c r="D68" s="67" t="s">
        <v>24</v>
      </c>
      <c r="E68" s="76">
        <v>1</v>
      </c>
      <c r="F68" s="54" t="s">
        <v>217</v>
      </c>
      <c r="G68" s="102">
        <v>5675.13</v>
      </c>
      <c r="H68" s="102">
        <v>849.76</v>
      </c>
      <c r="I68" s="92">
        <f t="shared" si="3"/>
        <v>6524.89</v>
      </c>
      <c r="J68" s="56"/>
    </row>
    <row r="69" spans="1:10" ht="13.15" customHeight="1" x14ac:dyDescent="0.25">
      <c r="A69" s="54" t="s">
        <v>260</v>
      </c>
      <c r="B69" s="105" t="s">
        <v>6</v>
      </c>
      <c r="C69" s="67"/>
      <c r="D69" s="67" t="s">
        <v>117</v>
      </c>
      <c r="E69" s="76">
        <v>1</v>
      </c>
      <c r="F69" s="113" t="s">
        <v>358</v>
      </c>
      <c r="G69" s="102">
        <v>0</v>
      </c>
      <c r="H69" s="102">
        <v>505.81</v>
      </c>
      <c r="I69" s="92">
        <f t="shared" si="3"/>
        <v>505.81</v>
      </c>
      <c r="J69" s="56"/>
    </row>
    <row r="70" spans="1:10" ht="13.15" customHeight="1" x14ac:dyDescent="0.25">
      <c r="A70" s="54" t="s">
        <v>260</v>
      </c>
      <c r="B70" s="105" t="s">
        <v>6</v>
      </c>
      <c r="C70" s="67"/>
      <c r="D70" s="67" t="s">
        <v>24</v>
      </c>
      <c r="E70" s="76">
        <v>1</v>
      </c>
      <c r="F70" s="54" t="s">
        <v>233</v>
      </c>
      <c r="G70" s="102">
        <v>5046.58</v>
      </c>
      <c r="H70" s="102">
        <v>505.81</v>
      </c>
      <c r="I70" s="92">
        <f t="shared" si="3"/>
        <v>5552.39</v>
      </c>
      <c r="J70" s="56"/>
    </row>
    <row r="71" spans="1:10" ht="13.15" customHeight="1" x14ac:dyDescent="0.25">
      <c r="A71" s="54" t="s">
        <v>260</v>
      </c>
      <c r="B71" s="105" t="s">
        <v>6</v>
      </c>
      <c r="C71" s="67"/>
      <c r="D71" s="67" t="s">
        <v>117</v>
      </c>
      <c r="E71" s="76">
        <v>1</v>
      </c>
      <c r="F71" s="54" t="s">
        <v>359</v>
      </c>
      <c r="G71" s="102">
        <v>0</v>
      </c>
      <c r="H71" s="102">
        <v>505.81</v>
      </c>
      <c r="I71" s="92">
        <f t="shared" si="3"/>
        <v>505.81</v>
      </c>
      <c r="J71" s="56"/>
    </row>
    <row r="72" spans="1:10" ht="13.15" customHeight="1" x14ac:dyDescent="0.25">
      <c r="A72" s="54" t="s">
        <v>260</v>
      </c>
      <c r="B72" s="105" t="s">
        <v>6</v>
      </c>
      <c r="C72" s="105"/>
      <c r="D72" s="67" t="s">
        <v>117</v>
      </c>
      <c r="E72" s="76">
        <v>1</v>
      </c>
      <c r="F72" s="88" t="s">
        <v>360</v>
      </c>
      <c r="G72" s="102">
        <v>0</v>
      </c>
      <c r="H72" s="102">
        <v>505.81</v>
      </c>
      <c r="I72" s="92">
        <f t="shared" si="3"/>
        <v>505.81</v>
      </c>
      <c r="J72" s="56"/>
    </row>
    <row r="73" spans="1:10" ht="13.15" customHeight="1" x14ac:dyDescent="0.25">
      <c r="A73" s="54" t="s">
        <v>260</v>
      </c>
      <c r="B73" s="105" t="s">
        <v>6</v>
      </c>
      <c r="C73" s="105"/>
      <c r="D73" s="67" t="s">
        <v>24</v>
      </c>
      <c r="E73" s="76">
        <v>1</v>
      </c>
      <c r="F73" s="88" t="s">
        <v>304</v>
      </c>
      <c r="G73" s="102">
        <v>5763.82</v>
      </c>
      <c r="H73" s="102">
        <v>505.81</v>
      </c>
      <c r="I73" s="92">
        <f t="shared" si="3"/>
        <v>6269.63</v>
      </c>
      <c r="J73" s="56"/>
    </row>
    <row r="74" spans="1:10" ht="13.15" customHeight="1" x14ac:dyDescent="0.25">
      <c r="A74" s="104" t="s">
        <v>262</v>
      </c>
      <c r="B74" s="105" t="s">
        <v>7</v>
      </c>
      <c r="C74" s="105"/>
      <c r="D74" s="67" t="s">
        <v>24</v>
      </c>
      <c r="E74" s="76">
        <v>1</v>
      </c>
      <c r="F74" s="104" t="s">
        <v>229</v>
      </c>
      <c r="G74" s="102">
        <v>7691</v>
      </c>
      <c r="H74" s="102">
        <v>465.35</v>
      </c>
      <c r="I74" s="92">
        <f t="shared" si="3"/>
        <v>8156.35</v>
      </c>
      <c r="J74" s="56"/>
    </row>
    <row r="75" spans="1:10" ht="13.15" customHeight="1" x14ac:dyDescent="0.25">
      <c r="A75" s="104" t="s">
        <v>262</v>
      </c>
      <c r="B75" s="105" t="s">
        <v>7</v>
      </c>
      <c r="C75" s="105"/>
      <c r="D75" s="67" t="s">
        <v>117</v>
      </c>
      <c r="E75" s="76">
        <v>1</v>
      </c>
      <c r="F75" s="104" t="s">
        <v>361</v>
      </c>
      <c r="G75" s="102">
        <v>0</v>
      </c>
      <c r="H75" s="102">
        <v>465.35</v>
      </c>
      <c r="I75" s="92">
        <f t="shared" si="3"/>
        <v>465.35</v>
      </c>
      <c r="J75" s="56"/>
    </row>
    <row r="76" spans="1:10" ht="13.15" customHeight="1" x14ac:dyDescent="0.25">
      <c r="A76" s="104" t="s">
        <v>262</v>
      </c>
      <c r="B76" s="105" t="s">
        <v>7</v>
      </c>
      <c r="C76" s="105"/>
      <c r="D76" s="67"/>
      <c r="E76" s="76">
        <v>1</v>
      </c>
      <c r="F76" s="106" t="s">
        <v>346</v>
      </c>
      <c r="G76" s="102">
        <v>0</v>
      </c>
      <c r="H76" s="102">
        <v>0</v>
      </c>
      <c r="I76" s="92">
        <f t="shared" si="3"/>
        <v>0</v>
      </c>
      <c r="J76" s="56"/>
    </row>
    <row r="77" spans="1:10" ht="13.15" customHeight="1" x14ac:dyDescent="0.25">
      <c r="A77" s="104" t="s">
        <v>262</v>
      </c>
      <c r="B77" s="105" t="s">
        <v>7</v>
      </c>
      <c r="C77" s="105"/>
      <c r="D77" s="67" t="s">
        <v>117</v>
      </c>
      <c r="E77" s="76">
        <v>1</v>
      </c>
      <c r="F77" s="104" t="s">
        <v>362</v>
      </c>
      <c r="G77" s="102">
        <v>0</v>
      </c>
      <c r="H77" s="102">
        <v>465.35</v>
      </c>
      <c r="I77" s="92">
        <f t="shared" si="3"/>
        <v>465.35</v>
      </c>
      <c r="J77" s="56"/>
    </row>
    <row r="78" spans="1:10" ht="13.15" customHeight="1" x14ac:dyDescent="0.25">
      <c r="A78" s="104" t="s">
        <v>262</v>
      </c>
      <c r="B78" s="105" t="s">
        <v>7</v>
      </c>
      <c r="C78" s="105"/>
      <c r="D78" s="67" t="s">
        <v>24</v>
      </c>
      <c r="E78" s="76">
        <v>1</v>
      </c>
      <c r="F78" s="104" t="s">
        <v>305</v>
      </c>
      <c r="G78" s="102">
        <v>5563.85</v>
      </c>
      <c r="H78" s="102">
        <v>465.35</v>
      </c>
      <c r="I78" s="92">
        <f t="shared" si="3"/>
        <v>6029.2000000000007</v>
      </c>
      <c r="J78" s="56"/>
    </row>
    <row r="79" spans="1:10" ht="13.15" customHeight="1" x14ac:dyDescent="0.25">
      <c r="A79" s="104" t="s">
        <v>262</v>
      </c>
      <c r="B79" s="105" t="s">
        <v>7</v>
      </c>
      <c r="C79" s="105"/>
      <c r="D79" s="67" t="s">
        <v>24</v>
      </c>
      <c r="E79" s="76">
        <v>1</v>
      </c>
      <c r="F79" s="104" t="s">
        <v>273</v>
      </c>
      <c r="G79" s="102">
        <v>4440.25</v>
      </c>
      <c r="H79" s="102">
        <v>465.35</v>
      </c>
      <c r="I79" s="92">
        <f t="shared" si="3"/>
        <v>4905.6000000000004</v>
      </c>
      <c r="J79" s="56"/>
    </row>
    <row r="80" spans="1:10" ht="13.15" customHeight="1" x14ac:dyDescent="0.25">
      <c r="A80" s="104" t="s">
        <v>262</v>
      </c>
      <c r="B80" s="105" t="s">
        <v>7</v>
      </c>
      <c r="C80" s="105"/>
      <c r="D80" s="67" t="s">
        <v>117</v>
      </c>
      <c r="E80" s="76">
        <v>1</v>
      </c>
      <c r="F80" s="104" t="s">
        <v>363</v>
      </c>
      <c r="G80" s="102">
        <v>0</v>
      </c>
      <c r="H80" s="102">
        <v>465.35</v>
      </c>
      <c r="I80" s="92">
        <f t="shared" si="3"/>
        <v>465.35</v>
      </c>
      <c r="J80" s="56"/>
    </row>
    <row r="81" spans="1:10" ht="33.75" x14ac:dyDescent="0.25">
      <c r="A81" s="72" t="s">
        <v>120</v>
      </c>
      <c r="B81" s="72" t="s">
        <v>121</v>
      </c>
      <c r="C81" s="73" t="s">
        <v>122</v>
      </c>
      <c r="D81" s="73" t="s">
        <v>123</v>
      </c>
      <c r="E81" s="73" t="s">
        <v>124</v>
      </c>
      <c r="F81" s="90"/>
      <c r="G81" s="73" t="s">
        <v>125</v>
      </c>
      <c r="H81" s="73" t="s">
        <v>126</v>
      </c>
      <c r="I81" s="73" t="s">
        <v>127</v>
      </c>
      <c r="J81" s="56"/>
    </row>
    <row r="82" spans="1:10" ht="19.149999999999999" customHeight="1" x14ac:dyDescent="0.25">
      <c r="A82" s="75" t="s">
        <v>128</v>
      </c>
      <c r="B82" s="91" t="s">
        <v>4</v>
      </c>
      <c r="C82" s="77">
        <v>23</v>
      </c>
      <c r="D82" s="77">
        <v>0</v>
      </c>
      <c r="E82" s="77">
        <v>23</v>
      </c>
      <c r="F82" s="78" t="s">
        <v>377</v>
      </c>
      <c r="G82" s="92">
        <v>140775.10999999999</v>
      </c>
      <c r="H82" s="92">
        <v>33627.199999999997</v>
      </c>
      <c r="I82" s="92">
        <v>174502.31</v>
      </c>
      <c r="J82" s="56"/>
    </row>
    <row r="83" spans="1:10" ht="19.899999999999999" customHeight="1" x14ac:dyDescent="0.25">
      <c r="A83" s="75" t="s">
        <v>129</v>
      </c>
      <c r="B83" s="91" t="s">
        <v>130</v>
      </c>
      <c r="C83" s="77">
        <f>SUMIFS($E$48:$E$83,$B$48:$B$83,"FGS-2",$D$48:$D$83,"&lt;&gt;VAGO")</f>
        <v>3</v>
      </c>
      <c r="D83" s="77">
        <f>SUMIFS($E$48:$E$83,$B$48:$B$83,"FGS-2",$D$48:$D$83,"VAGO")</f>
        <v>0</v>
      </c>
      <c r="E83" s="77">
        <f t="shared" ref="E83:E87" si="4">C83+D83</f>
        <v>3</v>
      </c>
      <c r="F83" s="61" t="s">
        <v>331</v>
      </c>
      <c r="G83" s="92">
        <v>25123.200000000001</v>
      </c>
      <c r="H83" s="92">
        <v>3399.04</v>
      </c>
      <c r="I83" s="92">
        <v>28522.240000000002</v>
      </c>
      <c r="J83" s="56"/>
    </row>
    <row r="84" spans="1:10" ht="13.15" customHeight="1" x14ac:dyDescent="0.25">
      <c r="A84" s="75" t="s">
        <v>131</v>
      </c>
      <c r="B84" s="91" t="s">
        <v>132</v>
      </c>
      <c r="C84" s="77">
        <f>SUMIFS($E$48:$E$83,$B$48:$B$83,"FGS-3",$D$48:$D$83,"&lt;&gt;VAGO")</f>
        <v>0</v>
      </c>
      <c r="D84" s="77">
        <f>SUMIFS($E$48:$E$83,$B$48:$B$83,"FGS-3",$D$48:$D$83,"VAGO")</f>
        <v>0</v>
      </c>
      <c r="E84" s="77">
        <f t="shared" si="4"/>
        <v>0</v>
      </c>
      <c r="F84" s="61"/>
      <c r="G84" s="92">
        <f>SUMIF($B$48:$B$83,"FGS-3",$G$48:$G$83)</f>
        <v>0</v>
      </c>
      <c r="H84" s="92">
        <f>SUMIF($B$48:$B$83,"FGS-3",$G$48:$G$83)</f>
        <v>0</v>
      </c>
      <c r="I84" s="92">
        <f>SUMIF($B$48:$B$83,"FGS-3",$G$48:$G$83)</f>
        <v>0</v>
      </c>
      <c r="J84" s="56"/>
    </row>
    <row r="85" spans="1:10" ht="13.15" customHeight="1" x14ac:dyDescent="0.25">
      <c r="A85" s="81" t="s">
        <v>133</v>
      </c>
      <c r="B85" s="107" t="s">
        <v>134</v>
      </c>
      <c r="C85" s="77">
        <v>5</v>
      </c>
      <c r="D85" s="77">
        <v>0</v>
      </c>
      <c r="E85" s="77">
        <f t="shared" si="4"/>
        <v>5</v>
      </c>
      <c r="F85" s="82"/>
      <c r="G85" s="92">
        <v>10810.4</v>
      </c>
      <c r="H85" s="92">
        <v>2528.9499999999998</v>
      </c>
      <c r="I85" s="92" t="s">
        <v>364</v>
      </c>
      <c r="J85" s="56"/>
    </row>
    <row r="86" spans="1:10" ht="13.15" customHeight="1" x14ac:dyDescent="0.25">
      <c r="A86" s="75" t="s">
        <v>135</v>
      </c>
      <c r="B86" s="91" t="s">
        <v>7</v>
      </c>
      <c r="C86" s="77">
        <v>6</v>
      </c>
      <c r="D86" s="77">
        <v>1</v>
      </c>
      <c r="E86" s="77">
        <v>7</v>
      </c>
      <c r="F86" s="82"/>
      <c r="G86" s="92">
        <v>17695.099999999999</v>
      </c>
      <c r="H86" s="92">
        <v>2792.1</v>
      </c>
      <c r="I86" s="92">
        <v>20487.2</v>
      </c>
      <c r="J86" s="56"/>
    </row>
    <row r="87" spans="1:10" ht="13.15" customHeight="1" x14ac:dyDescent="0.25">
      <c r="A87" s="75" t="s">
        <v>136</v>
      </c>
      <c r="B87" s="91" t="s">
        <v>137</v>
      </c>
      <c r="C87" s="77">
        <f>SUMIFS($E$48:$E$83,$B$48:$B$83,"FGA-3",$D$48:$D$83,"&lt;&gt;VAGO")</f>
        <v>0</v>
      </c>
      <c r="D87" s="77">
        <f>SUMIFS($E$48:$E$83,$B$48:$B$83,"FGA-3",$D$48:$D$83,"VAGO")</f>
        <v>0</v>
      </c>
      <c r="E87" s="77">
        <f t="shared" si="4"/>
        <v>0</v>
      </c>
      <c r="F87" s="61"/>
      <c r="G87" s="92">
        <f>SUMIF($B$48:$B$83,"FGA-3",$G$48:$G$83)</f>
        <v>0</v>
      </c>
      <c r="H87" s="92">
        <f>SUMIF($B$48:$B$83,"FGA-3",$G$48:$G$83)</f>
        <v>0</v>
      </c>
      <c r="I87" s="92">
        <f>SUMIF($B$48:$B$83,"FGA-3",$G$48:$G$83)</f>
        <v>0</v>
      </c>
      <c r="J87" s="56"/>
    </row>
    <row r="88" spans="1:10" ht="25.9" customHeight="1" x14ac:dyDescent="0.25">
      <c r="A88" s="72" t="s">
        <v>138</v>
      </c>
      <c r="B88" s="90"/>
      <c r="C88" s="73">
        <f t="shared" ref="C88:E88" si="5">SUM(C82:C87)</f>
        <v>37</v>
      </c>
      <c r="D88" s="73">
        <f t="shared" si="5"/>
        <v>1</v>
      </c>
      <c r="E88" s="73">
        <f t="shared" si="5"/>
        <v>38</v>
      </c>
      <c r="F88" s="90"/>
      <c r="G88" s="93">
        <v>193987.42</v>
      </c>
      <c r="H88" s="93">
        <f>SUM(H82:H87)</f>
        <v>42347.289999999994</v>
      </c>
      <c r="I88" s="93">
        <v>236334.71</v>
      </c>
      <c r="J88" s="56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108"/>
      <c r="J89" s="56"/>
    </row>
    <row r="90" spans="1:10" ht="42" customHeight="1" x14ac:dyDescent="0.25">
      <c r="A90" s="72"/>
      <c r="B90" s="72"/>
      <c r="C90" s="73" t="s">
        <v>139</v>
      </c>
      <c r="D90" s="73" t="s">
        <v>140</v>
      </c>
      <c r="E90" s="73" t="s">
        <v>141</v>
      </c>
      <c r="F90" s="83"/>
      <c r="G90" s="73" t="s">
        <v>142</v>
      </c>
      <c r="H90" s="73" t="s">
        <v>143</v>
      </c>
      <c r="I90" s="73" t="s">
        <v>144</v>
      </c>
      <c r="J90" s="56"/>
    </row>
    <row r="91" spans="1:10" ht="68.45" customHeight="1" x14ac:dyDescent="0.25">
      <c r="A91" s="72" t="s">
        <v>145</v>
      </c>
      <c r="B91" s="83"/>
      <c r="C91" s="73">
        <v>48</v>
      </c>
      <c r="D91" s="73">
        <v>1</v>
      </c>
      <c r="E91" s="73">
        <v>49</v>
      </c>
      <c r="F91" s="83"/>
      <c r="G91" s="93">
        <f>SUM(H25+G39+G88)</f>
        <v>236456.85</v>
      </c>
      <c r="H91" s="93">
        <f>SUM(I25+H39+H88)</f>
        <v>83253.19</v>
      </c>
      <c r="I91" s="93">
        <v>319710.03999999998</v>
      </c>
      <c r="J91" s="56"/>
    </row>
    <row r="92" spans="1:10" x14ac:dyDescent="0.25">
      <c r="A92" s="85"/>
      <c r="B92" s="85"/>
      <c r="C92" s="85"/>
      <c r="D92" s="85"/>
      <c r="E92" s="85"/>
      <c r="F92" s="85"/>
      <c r="G92" s="85"/>
      <c r="H92" s="85"/>
      <c r="I92" s="108"/>
      <c r="J92" s="56"/>
    </row>
    <row r="93" spans="1:10" x14ac:dyDescent="0.25">
      <c r="A93" s="172" t="s">
        <v>146</v>
      </c>
      <c r="B93" s="173"/>
      <c r="C93" s="173"/>
      <c r="D93" s="173"/>
      <c r="E93" s="173"/>
      <c r="F93" s="174"/>
      <c r="G93" s="86"/>
      <c r="H93" s="85"/>
      <c r="I93" s="85"/>
      <c r="J93" s="56"/>
    </row>
    <row r="94" spans="1:10" x14ac:dyDescent="0.25">
      <c r="A94" s="131" t="s">
        <v>147</v>
      </c>
      <c r="B94" s="152"/>
      <c r="C94" s="152"/>
      <c r="D94" s="152"/>
      <c r="E94" s="152"/>
      <c r="F94" s="153"/>
      <c r="G94" s="86"/>
      <c r="H94" s="85"/>
      <c r="I94" s="85"/>
      <c r="J94" s="56"/>
    </row>
    <row r="95" spans="1:10" x14ac:dyDescent="0.25">
      <c r="A95" s="131" t="s">
        <v>148</v>
      </c>
      <c r="B95" s="152"/>
      <c r="C95" s="152"/>
      <c r="D95" s="152"/>
      <c r="E95" s="152"/>
      <c r="F95" s="153"/>
      <c r="G95" s="86"/>
      <c r="H95" s="85"/>
      <c r="I95" s="85"/>
      <c r="J95" s="56"/>
    </row>
    <row r="96" spans="1:10" x14ac:dyDescent="0.25">
      <c r="A96" s="124" t="s">
        <v>149</v>
      </c>
      <c r="B96" s="164"/>
      <c r="C96" s="164"/>
      <c r="D96" s="164"/>
      <c r="E96" s="164"/>
      <c r="F96" s="165"/>
      <c r="G96" s="86"/>
      <c r="H96" s="85"/>
      <c r="I96" s="85"/>
      <c r="J96" s="56"/>
    </row>
    <row r="97" spans="1:10" x14ac:dyDescent="0.25">
      <c r="A97" s="124" t="s">
        <v>150</v>
      </c>
      <c r="B97" s="164"/>
      <c r="C97" s="164"/>
      <c r="D97" s="164"/>
      <c r="E97" s="164"/>
      <c r="F97" s="165"/>
      <c r="G97" s="86"/>
      <c r="H97" s="85"/>
      <c r="I97" s="85"/>
      <c r="J97" s="56"/>
    </row>
    <row r="98" spans="1:10" x14ac:dyDescent="0.25">
      <c r="A98" s="124" t="s">
        <v>151</v>
      </c>
      <c r="B98" s="164"/>
      <c r="C98" s="164"/>
      <c r="D98" s="164"/>
      <c r="E98" s="164"/>
      <c r="F98" s="165"/>
      <c r="G98" s="86"/>
      <c r="H98" s="85"/>
      <c r="I98" s="85"/>
      <c r="J98" s="56"/>
    </row>
    <row r="99" spans="1:10" x14ac:dyDescent="0.25">
      <c r="A99" s="196" t="s">
        <v>378</v>
      </c>
      <c r="B99" s="197"/>
      <c r="C99" s="197"/>
      <c r="D99" s="197"/>
      <c r="E99" s="197"/>
      <c r="F99" s="198"/>
      <c r="G99" s="86"/>
      <c r="H99" s="85"/>
      <c r="I99" s="85"/>
      <c r="J99" s="56"/>
    </row>
    <row r="100" spans="1:10" x14ac:dyDescent="0.25">
      <c r="A100" s="124" t="s">
        <v>234</v>
      </c>
      <c r="B100" s="164"/>
      <c r="C100" s="164"/>
      <c r="D100" s="164"/>
      <c r="E100" s="164"/>
      <c r="F100" s="165"/>
      <c r="G100" s="86"/>
      <c r="H100" s="85"/>
      <c r="I100" s="85"/>
      <c r="J100" s="56"/>
    </row>
    <row r="101" spans="1:10" x14ac:dyDescent="0.25">
      <c r="A101" s="124" t="s">
        <v>265</v>
      </c>
      <c r="B101" s="164"/>
      <c r="C101" s="164"/>
      <c r="D101" s="164"/>
      <c r="E101" s="164"/>
      <c r="F101" s="165"/>
      <c r="G101" s="86"/>
      <c r="H101" s="85"/>
      <c r="I101" s="85"/>
      <c r="J101" s="56"/>
    </row>
    <row r="102" spans="1:10" x14ac:dyDescent="0.25">
      <c r="A102" s="199" t="s">
        <v>379</v>
      </c>
      <c r="B102" s="200"/>
      <c r="C102" s="200"/>
      <c r="D102" s="200"/>
      <c r="E102" s="200"/>
      <c r="F102" s="201"/>
      <c r="G102" s="86"/>
      <c r="H102" s="85"/>
      <c r="I102" s="85"/>
      <c r="J102" s="56"/>
    </row>
    <row r="103" spans="1:10" x14ac:dyDescent="0.25">
      <c r="A103" s="178"/>
      <c r="B103" s="179"/>
      <c r="C103" s="179"/>
      <c r="D103" s="179"/>
      <c r="E103" s="179"/>
      <c r="F103" s="180"/>
      <c r="G103" s="86"/>
      <c r="H103" s="85"/>
      <c r="I103" s="85"/>
      <c r="J103" s="56"/>
    </row>
    <row r="104" spans="1:10" x14ac:dyDescent="0.25">
      <c r="A104" s="178"/>
      <c r="B104" s="179"/>
      <c r="C104" s="179"/>
      <c r="D104" s="179"/>
      <c r="E104" s="179"/>
      <c r="F104" s="180"/>
      <c r="G104" s="86"/>
      <c r="H104" s="85"/>
      <c r="I104" s="85"/>
      <c r="J104" s="56"/>
    </row>
    <row r="105" spans="1:10" x14ac:dyDescent="0.25">
      <c r="A105" s="181"/>
      <c r="B105" s="182"/>
      <c r="C105" s="182"/>
      <c r="D105" s="182"/>
      <c r="E105" s="182"/>
      <c r="F105" s="183"/>
      <c r="G105" s="86"/>
      <c r="H105" s="85"/>
      <c r="I105" s="85"/>
      <c r="J105" s="56"/>
    </row>
    <row r="106" spans="1:10" x14ac:dyDescent="0.25">
      <c r="A106" s="184"/>
      <c r="B106" s="185"/>
      <c r="C106" s="185"/>
      <c r="D106" s="185"/>
      <c r="E106" s="185"/>
      <c r="F106" s="186"/>
      <c r="G106" s="86"/>
      <c r="H106" s="85"/>
      <c r="I106" s="85"/>
      <c r="J106" s="56"/>
    </row>
    <row r="107" spans="1:10" x14ac:dyDescent="0.25">
      <c r="A107" s="187" t="s">
        <v>152</v>
      </c>
      <c r="B107" s="188"/>
      <c r="C107" s="188"/>
      <c r="D107" s="188"/>
      <c r="E107" s="188"/>
      <c r="F107" s="189"/>
      <c r="G107" s="86"/>
      <c r="H107" s="85"/>
      <c r="I107" s="85"/>
      <c r="J107" s="56"/>
    </row>
    <row r="108" spans="1:10" x14ac:dyDescent="0.25">
      <c r="A108" s="190" t="s">
        <v>153</v>
      </c>
      <c r="B108" s="191"/>
      <c r="C108" s="191"/>
      <c r="D108" s="191"/>
      <c r="E108" s="191"/>
      <c r="F108" s="192"/>
      <c r="G108" s="86"/>
      <c r="H108" s="85"/>
      <c r="I108" s="85"/>
      <c r="J108" s="56"/>
    </row>
    <row r="109" spans="1:10" x14ac:dyDescent="0.25">
      <c r="A109" s="175" t="s">
        <v>154</v>
      </c>
      <c r="B109" s="176"/>
      <c r="C109" s="176"/>
      <c r="D109" s="176"/>
      <c r="E109" s="176"/>
      <c r="F109" s="177"/>
      <c r="G109" s="86"/>
      <c r="H109" s="85"/>
      <c r="I109" s="85"/>
      <c r="J109" s="56"/>
    </row>
    <row r="110" spans="1:10" ht="24" customHeight="1" x14ac:dyDescent="0.25">
      <c r="A110" s="175" t="s">
        <v>155</v>
      </c>
      <c r="B110" s="176"/>
      <c r="C110" s="176"/>
      <c r="D110" s="176"/>
      <c r="E110" s="176"/>
      <c r="F110" s="177"/>
      <c r="G110" s="86"/>
      <c r="H110" s="85"/>
      <c r="I110" s="85"/>
      <c r="J110" s="56"/>
    </row>
    <row r="111" spans="1:10" ht="23.45" customHeight="1" x14ac:dyDescent="0.25">
      <c r="A111" s="175" t="s">
        <v>156</v>
      </c>
      <c r="B111" s="176"/>
      <c r="C111" s="176"/>
      <c r="D111" s="176"/>
      <c r="E111" s="176"/>
      <c r="F111" s="177"/>
      <c r="G111" s="86"/>
      <c r="H111" s="85"/>
      <c r="I111" s="85"/>
      <c r="J111" s="56"/>
    </row>
    <row r="112" spans="1:10" x14ac:dyDescent="0.25">
      <c r="A112" s="175" t="s">
        <v>157</v>
      </c>
      <c r="B112" s="176"/>
      <c r="C112" s="176"/>
      <c r="D112" s="176"/>
      <c r="E112" s="176"/>
      <c r="F112" s="177"/>
      <c r="G112" s="86"/>
      <c r="H112" s="85"/>
      <c r="I112" s="85"/>
      <c r="J112" s="56"/>
    </row>
    <row r="113" spans="1:10" ht="45.6" customHeight="1" x14ac:dyDescent="0.25">
      <c r="A113" s="175" t="s">
        <v>158</v>
      </c>
      <c r="B113" s="176"/>
      <c r="C113" s="176"/>
      <c r="D113" s="176"/>
      <c r="E113" s="176"/>
      <c r="F113" s="177"/>
      <c r="G113" s="86"/>
      <c r="H113" s="85"/>
      <c r="I113" s="85"/>
      <c r="J113" s="56"/>
    </row>
    <row r="114" spans="1:10" ht="21.6" customHeight="1" x14ac:dyDescent="0.25">
      <c r="A114" s="175" t="s">
        <v>159</v>
      </c>
      <c r="B114" s="176"/>
      <c r="C114" s="176"/>
      <c r="D114" s="176"/>
      <c r="E114" s="176"/>
      <c r="F114" s="177"/>
      <c r="G114" s="86"/>
      <c r="H114" s="85"/>
      <c r="I114" s="85"/>
      <c r="J114" s="56"/>
    </row>
    <row r="115" spans="1:10" x14ac:dyDescent="0.25">
      <c r="A115" s="175" t="s">
        <v>160</v>
      </c>
      <c r="B115" s="176"/>
      <c r="C115" s="176"/>
      <c r="D115" s="176"/>
      <c r="E115" s="176"/>
      <c r="F115" s="177"/>
      <c r="G115" s="86"/>
      <c r="H115" s="85"/>
      <c r="I115" s="85"/>
      <c r="J115" s="56"/>
    </row>
    <row r="116" spans="1:10" x14ac:dyDescent="0.25">
      <c r="A116" s="175" t="s">
        <v>161</v>
      </c>
      <c r="B116" s="176"/>
      <c r="C116" s="176"/>
      <c r="D116" s="176"/>
      <c r="E116" s="176"/>
      <c r="F116" s="177"/>
      <c r="G116" s="86"/>
      <c r="H116" s="85"/>
      <c r="I116" s="85"/>
      <c r="J116" s="56"/>
    </row>
    <row r="117" spans="1:10" x14ac:dyDescent="0.25">
      <c r="A117" s="175" t="s">
        <v>162</v>
      </c>
      <c r="B117" s="176"/>
      <c r="C117" s="176"/>
      <c r="D117" s="176"/>
      <c r="E117" s="176"/>
      <c r="F117" s="177"/>
      <c r="G117" s="86"/>
      <c r="H117" s="85"/>
      <c r="I117" s="85"/>
      <c r="J117" s="56"/>
    </row>
    <row r="118" spans="1:10" x14ac:dyDescent="0.25">
      <c r="A118" s="175" t="s">
        <v>163</v>
      </c>
      <c r="B118" s="176"/>
      <c r="C118" s="176"/>
      <c r="D118" s="176"/>
      <c r="E118" s="176"/>
      <c r="F118" s="177"/>
      <c r="G118" s="86"/>
      <c r="H118" s="85"/>
      <c r="I118" s="85"/>
      <c r="J118" s="56"/>
    </row>
    <row r="119" spans="1:10" x14ac:dyDescent="0.25">
      <c r="A119" s="175" t="s">
        <v>164</v>
      </c>
      <c r="B119" s="176"/>
      <c r="C119" s="176"/>
      <c r="D119" s="176"/>
      <c r="E119" s="176"/>
      <c r="F119" s="177"/>
      <c r="G119" s="86"/>
      <c r="H119" s="85"/>
      <c r="I119" s="85"/>
      <c r="J119" s="56"/>
    </row>
    <row r="120" spans="1:10" x14ac:dyDescent="0.25">
      <c r="A120" s="175" t="s">
        <v>165</v>
      </c>
      <c r="B120" s="176"/>
      <c r="C120" s="176"/>
      <c r="D120" s="176"/>
      <c r="E120" s="176"/>
      <c r="F120" s="177"/>
      <c r="G120" s="86"/>
      <c r="H120" s="85"/>
      <c r="I120" s="85"/>
      <c r="J120" s="56"/>
    </row>
    <row r="121" spans="1:10" x14ac:dyDescent="0.25">
      <c r="A121" s="175" t="s">
        <v>166</v>
      </c>
      <c r="B121" s="176"/>
      <c r="C121" s="176"/>
      <c r="D121" s="176"/>
      <c r="E121" s="176"/>
      <c r="F121" s="177"/>
      <c r="G121" s="86"/>
      <c r="H121" s="85"/>
      <c r="I121" s="85"/>
      <c r="J121" s="56"/>
    </row>
    <row r="122" spans="1:10" x14ac:dyDescent="0.25">
      <c r="A122" s="175" t="s">
        <v>167</v>
      </c>
      <c r="B122" s="176"/>
      <c r="C122" s="176"/>
      <c r="D122" s="176"/>
      <c r="E122" s="176"/>
      <c r="F122" s="177"/>
      <c r="G122" s="86"/>
      <c r="H122" s="85"/>
      <c r="I122" s="85"/>
      <c r="J122" s="56"/>
    </row>
    <row r="123" spans="1:10" x14ac:dyDescent="0.25">
      <c r="A123" s="175" t="s">
        <v>168</v>
      </c>
      <c r="B123" s="176"/>
      <c r="C123" s="176"/>
      <c r="D123" s="176"/>
      <c r="E123" s="176"/>
      <c r="F123" s="177"/>
      <c r="G123" s="86"/>
      <c r="H123" s="85"/>
      <c r="I123" s="85"/>
      <c r="J123" s="56"/>
    </row>
    <row r="124" spans="1:10" x14ac:dyDescent="0.25">
      <c r="A124" s="175" t="s">
        <v>169</v>
      </c>
      <c r="B124" s="176"/>
      <c r="C124" s="176"/>
      <c r="D124" s="176"/>
      <c r="E124" s="176"/>
      <c r="F124" s="177"/>
      <c r="G124" s="86"/>
      <c r="H124" s="85"/>
      <c r="I124" s="85"/>
      <c r="J124" s="56"/>
    </row>
    <row r="125" spans="1:10" x14ac:dyDescent="0.25">
      <c r="A125" s="175" t="s">
        <v>170</v>
      </c>
      <c r="B125" s="176"/>
      <c r="C125" s="176"/>
      <c r="D125" s="176"/>
      <c r="E125" s="176"/>
      <c r="F125" s="177"/>
      <c r="G125" s="86"/>
      <c r="H125" s="85"/>
      <c r="I125" s="85"/>
      <c r="J125" s="56"/>
    </row>
    <row r="126" spans="1:10" x14ac:dyDescent="0.25">
      <c r="A126" s="175" t="s">
        <v>171</v>
      </c>
      <c r="B126" s="176"/>
      <c r="C126" s="176"/>
      <c r="D126" s="176"/>
      <c r="E126" s="176"/>
      <c r="F126" s="177"/>
      <c r="G126" s="86"/>
      <c r="H126" s="85"/>
      <c r="I126" s="85"/>
      <c r="J126" s="56"/>
    </row>
    <row r="127" spans="1:10" x14ac:dyDescent="0.25">
      <c r="A127" s="175" t="s">
        <v>172</v>
      </c>
      <c r="B127" s="176"/>
      <c r="C127" s="176"/>
      <c r="D127" s="176"/>
      <c r="E127" s="176"/>
      <c r="F127" s="177"/>
      <c r="G127" s="86"/>
      <c r="H127" s="85"/>
      <c r="I127" s="85"/>
      <c r="J127" s="56"/>
    </row>
    <row r="128" spans="1:10" x14ac:dyDescent="0.25">
      <c r="A128" s="175" t="s">
        <v>173</v>
      </c>
      <c r="B128" s="176"/>
      <c r="C128" s="176"/>
      <c r="D128" s="176"/>
      <c r="E128" s="176"/>
      <c r="F128" s="177"/>
      <c r="G128" s="86"/>
      <c r="H128" s="85"/>
      <c r="I128" s="85"/>
      <c r="J128" s="56"/>
    </row>
    <row r="129" spans="1:10" ht="20.45" customHeight="1" x14ac:dyDescent="0.25">
      <c r="A129" s="175" t="s">
        <v>174</v>
      </c>
      <c r="B129" s="176"/>
      <c r="C129" s="176"/>
      <c r="D129" s="176"/>
      <c r="E129" s="176"/>
      <c r="F129" s="177"/>
      <c r="G129" s="86"/>
      <c r="H129" s="85"/>
      <c r="I129" s="85"/>
      <c r="J129" s="56"/>
    </row>
    <row r="130" spans="1:10" ht="21" customHeight="1" x14ac:dyDescent="0.25">
      <c r="A130" s="175" t="s">
        <v>175</v>
      </c>
      <c r="B130" s="176"/>
      <c r="C130" s="176"/>
      <c r="D130" s="176"/>
      <c r="E130" s="176"/>
      <c r="F130" s="177"/>
      <c r="G130" s="86"/>
      <c r="H130" s="85"/>
      <c r="I130" s="85"/>
      <c r="J130" s="56"/>
    </row>
    <row r="131" spans="1:10" x14ac:dyDescent="0.25">
      <c r="A131" s="175" t="s">
        <v>176</v>
      </c>
      <c r="B131" s="176"/>
      <c r="C131" s="176"/>
      <c r="D131" s="176"/>
      <c r="E131" s="176"/>
      <c r="F131" s="177"/>
      <c r="G131" s="86"/>
      <c r="H131" s="85"/>
      <c r="I131" s="85"/>
      <c r="J131" s="56"/>
    </row>
    <row r="132" spans="1:10" ht="19.899999999999999" customHeight="1" x14ac:dyDescent="0.25">
      <c r="A132" s="175" t="s">
        <v>177</v>
      </c>
      <c r="B132" s="176"/>
      <c r="C132" s="176"/>
      <c r="D132" s="176"/>
      <c r="E132" s="176"/>
      <c r="F132" s="177"/>
      <c r="G132" s="86"/>
      <c r="H132" s="85"/>
      <c r="I132" s="85"/>
      <c r="J132" s="56"/>
    </row>
    <row r="133" spans="1:10" ht="20.45" customHeight="1" x14ac:dyDescent="0.25">
      <c r="A133" s="175" t="s">
        <v>178</v>
      </c>
      <c r="B133" s="176"/>
      <c r="C133" s="176"/>
      <c r="D133" s="176"/>
      <c r="E133" s="176"/>
      <c r="F133" s="177"/>
      <c r="G133" s="86"/>
      <c r="H133" s="85"/>
      <c r="I133" s="85"/>
      <c r="J133" s="56"/>
    </row>
    <row r="134" spans="1:10" ht="25.9" customHeight="1" x14ac:dyDescent="0.25">
      <c r="A134" s="175" t="s">
        <v>179</v>
      </c>
      <c r="B134" s="176"/>
      <c r="C134" s="176"/>
      <c r="D134" s="176"/>
      <c r="E134" s="176"/>
      <c r="F134" s="177"/>
      <c r="G134" s="86"/>
      <c r="H134" s="85"/>
      <c r="I134" s="85"/>
      <c r="J134" s="56"/>
    </row>
    <row r="135" spans="1:10" ht="18" customHeight="1" x14ac:dyDescent="0.25">
      <c r="A135" s="175" t="s">
        <v>180</v>
      </c>
      <c r="B135" s="176"/>
      <c r="C135" s="176"/>
      <c r="D135" s="176"/>
      <c r="E135" s="176"/>
      <c r="F135" s="177"/>
      <c r="G135" s="86"/>
      <c r="H135" s="85"/>
      <c r="I135" s="85"/>
      <c r="J135" s="56"/>
    </row>
    <row r="136" spans="1:10" x14ac:dyDescent="0.25">
      <c r="A136" s="175" t="s">
        <v>181</v>
      </c>
      <c r="B136" s="176"/>
      <c r="C136" s="176"/>
      <c r="D136" s="176"/>
      <c r="E136" s="176"/>
      <c r="F136" s="177"/>
      <c r="G136" s="86"/>
      <c r="H136" s="85"/>
      <c r="I136" s="85"/>
      <c r="J136" s="56"/>
    </row>
    <row r="137" spans="1:10" x14ac:dyDescent="0.25">
      <c r="A137" s="175" t="s">
        <v>182</v>
      </c>
      <c r="B137" s="176"/>
      <c r="C137" s="176"/>
      <c r="D137" s="176"/>
      <c r="E137" s="176"/>
      <c r="F137" s="177"/>
      <c r="G137" s="86"/>
      <c r="H137" s="85"/>
      <c r="I137" s="85"/>
      <c r="J137" s="56"/>
    </row>
    <row r="138" spans="1:10" x14ac:dyDescent="0.25">
      <c r="A138" s="175" t="s">
        <v>183</v>
      </c>
      <c r="B138" s="176"/>
      <c r="C138" s="176"/>
      <c r="D138" s="176"/>
      <c r="E138" s="176"/>
      <c r="F138" s="177"/>
      <c r="G138" s="86"/>
      <c r="H138" s="85"/>
      <c r="I138" s="85"/>
      <c r="J138" s="56"/>
    </row>
    <row r="139" spans="1:10" x14ac:dyDescent="0.25">
      <c r="A139" s="175" t="s">
        <v>184</v>
      </c>
      <c r="B139" s="176"/>
      <c r="C139" s="176"/>
      <c r="D139" s="176"/>
      <c r="E139" s="176"/>
      <c r="F139" s="177"/>
      <c r="G139" s="86"/>
      <c r="H139" s="85"/>
      <c r="I139" s="85"/>
      <c r="J139" s="56"/>
    </row>
    <row r="140" spans="1:10" x14ac:dyDescent="0.25">
      <c r="A140" s="175" t="s">
        <v>185</v>
      </c>
      <c r="B140" s="176"/>
      <c r="C140" s="176"/>
      <c r="D140" s="176"/>
      <c r="E140" s="176"/>
      <c r="F140" s="177"/>
      <c r="G140" s="86"/>
      <c r="H140" s="85"/>
      <c r="I140" s="85"/>
      <c r="J140" s="56"/>
    </row>
    <row r="141" spans="1:10" x14ac:dyDescent="0.25">
      <c r="A141" s="175" t="s">
        <v>186</v>
      </c>
      <c r="B141" s="176"/>
      <c r="C141" s="176"/>
      <c r="D141" s="176"/>
      <c r="E141" s="176"/>
      <c r="F141" s="177"/>
      <c r="G141" s="86"/>
      <c r="H141" s="85"/>
      <c r="I141" s="85"/>
      <c r="J141" s="56"/>
    </row>
    <row r="142" spans="1:10" x14ac:dyDescent="0.25">
      <c r="A142" s="175" t="s">
        <v>187</v>
      </c>
      <c r="B142" s="176"/>
      <c r="C142" s="176"/>
      <c r="D142" s="176"/>
      <c r="E142" s="176"/>
      <c r="F142" s="177"/>
      <c r="G142" s="86"/>
      <c r="H142" s="85"/>
      <c r="I142" s="85"/>
      <c r="J142" s="56"/>
    </row>
    <row r="143" spans="1:10" x14ac:dyDescent="0.25">
      <c r="A143" s="175" t="s">
        <v>188</v>
      </c>
      <c r="B143" s="176"/>
      <c r="C143" s="176"/>
      <c r="D143" s="176"/>
      <c r="E143" s="176"/>
      <c r="F143" s="177"/>
      <c r="G143" s="86"/>
      <c r="H143" s="85"/>
      <c r="I143" s="85"/>
      <c r="J143" s="56"/>
    </row>
    <row r="144" spans="1:10" x14ac:dyDescent="0.25">
      <c r="A144" s="175" t="s">
        <v>189</v>
      </c>
      <c r="B144" s="176"/>
      <c r="C144" s="176"/>
      <c r="D144" s="176"/>
      <c r="E144" s="176"/>
      <c r="F144" s="177"/>
      <c r="G144" s="86"/>
      <c r="H144" s="85"/>
      <c r="I144" s="85"/>
      <c r="J144" s="56"/>
    </row>
    <row r="145" spans="1:10" x14ac:dyDescent="0.25">
      <c r="A145" s="175" t="s">
        <v>190</v>
      </c>
      <c r="B145" s="176"/>
      <c r="C145" s="176"/>
      <c r="D145" s="176"/>
      <c r="E145" s="176"/>
      <c r="F145" s="177"/>
      <c r="G145" s="86"/>
      <c r="H145" s="85"/>
      <c r="I145" s="85"/>
      <c r="J145" s="56"/>
    </row>
    <row r="146" spans="1:10" ht="18.600000000000001" customHeight="1" x14ac:dyDescent="0.25">
      <c r="A146" s="175" t="s">
        <v>191</v>
      </c>
      <c r="B146" s="176"/>
      <c r="C146" s="176"/>
      <c r="D146" s="176"/>
      <c r="E146" s="176"/>
      <c r="F146" s="177"/>
      <c r="G146" s="86"/>
      <c r="H146" s="85"/>
      <c r="I146" s="85"/>
      <c r="J146" s="56"/>
    </row>
    <row r="147" spans="1:10" ht="21" customHeight="1" x14ac:dyDescent="0.25">
      <c r="A147" s="175" t="s">
        <v>192</v>
      </c>
      <c r="B147" s="176"/>
      <c r="C147" s="176"/>
      <c r="D147" s="176"/>
      <c r="E147" s="176"/>
      <c r="F147" s="177"/>
      <c r="G147" s="86"/>
      <c r="H147" s="85"/>
      <c r="I147" s="85"/>
      <c r="J147" s="56"/>
    </row>
    <row r="148" spans="1:10" x14ac:dyDescent="0.25">
      <c r="A148" s="175" t="s">
        <v>193</v>
      </c>
      <c r="B148" s="176"/>
      <c r="C148" s="176"/>
      <c r="D148" s="176"/>
      <c r="E148" s="176"/>
      <c r="F148" s="177"/>
      <c r="G148" s="86"/>
      <c r="H148" s="85"/>
      <c r="I148" s="85"/>
      <c r="J148" s="56"/>
    </row>
    <row r="149" spans="1:10" ht="19.899999999999999" customHeight="1" x14ac:dyDescent="0.25">
      <c r="A149" s="175" t="s">
        <v>194</v>
      </c>
      <c r="B149" s="176"/>
      <c r="C149" s="176"/>
      <c r="D149" s="176"/>
      <c r="E149" s="176"/>
      <c r="F149" s="177"/>
      <c r="G149" s="35"/>
      <c r="H149" s="35"/>
      <c r="I149" s="35"/>
      <c r="J149" s="56"/>
    </row>
    <row r="150" spans="1:10" ht="19.899999999999999" customHeight="1" x14ac:dyDescent="0.25">
      <c r="A150" s="175" t="s">
        <v>195</v>
      </c>
      <c r="B150" s="176"/>
      <c r="C150" s="176"/>
      <c r="D150" s="176"/>
      <c r="E150" s="176"/>
      <c r="F150" s="177"/>
      <c r="G150" s="35"/>
      <c r="H150" s="35"/>
      <c r="I150" s="35"/>
      <c r="J150" s="56"/>
    </row>
    <row r="151" spans="1:10" x14ac:dyDescent="0.25">
      <c r="A151" s="175" t="s">
        <v>196</v>
      </c>
      <c r="B151" s="176"/>
      <c r="C151" s="176"/>
      <c r="D151" s="176"/>
      <c r="E151" s="176"/>
      <c r="F151" s="177"/>
      <c r="G151" s="35"/>
      <c r="H151" s="35"/>
      <c r="I151" s="35"/>
      <c r="J151" s="56"/>
    </row>
    <row r="152" spans="1:10" x14ac:dyDescent="0.25">
      <c r="A152" s="175" t="s">
        <v>197</v>
      </c>
      <c r="B152" s="176"/>
      <c r="C152" s="176"/>
      <c r="D152" s="176"/>
      <c r="E152" s="176"/>
      <c r="F152" s="177"/>
      <c r="G152" s="35"/>
      <c r="H152" s="35"/>
      <c r="I152" s="35"/>
      <c r="J152" s="56"/>
    </row>
    <row r="153" spans="1:10" x14ac:dyDescent="0.25">
      <c r="A153" s="175" t="s">
        <v>198</v>
      </c>
      <c r="B153" s="176"/>
      <c r="C153" s="176"/>
      <c r="D153" s="176"/>
      <c r="E153" s="176"/>
      <c r="F153" s="177"/>
      <c r="G153" s="35"/>
      <c r="H153" s="35"/>
      <c r="I153" s="35"/>
      <c r="J153" s="56"/>
    </row>
    <row r="154" spans="1:10" x14ac:dyDescent="0.25">
      <c r="A154" s="175" t="s">
        <v>199</v>
      </c>
      <c r="B154" s="176"/>
      <c r="C154" s="176"/>
      <c r="D154" s="176"/>
      <c r="E154" s="176"/>
      <c r="F154" s="177"/>
      <c r="G154" s="35"/>
      <c r="H154" s="35"/>
      <c r="I154" s="35"/>
      <c r="J154" s="56"/>
    </row>
    <row r="155" spans="1:10" x14ac:dyDescent="0.25">
      <c r="A155" s="175" t="s">
        <v>200</v>
      </c>
      <c r="B155" s="176"/>
      <c r="C155" s="176"/>
      <c r="D155" s="176"/>
      <c r="E155" s="176"/>
      <c r="F155" s="177"/>
      <c r="G155" s="35"/>
      <c r="H155" s="35"/>
      <c r="I155" s="35"/>
      <c r="J155" s="56"/>
    </row>
    <row r="156" spans="1:10" x14ac:dyDescent="0.25">
      <c r="A156" s="175" t="s">
        <v>201</v>
      </c>
      <c r="B156" s="176"/>
      <c r="C156" s="176"/>
      <c r="D156" s="176"/>
      <c r="E156" s="176"/>
      <c r="F156" s="177"/>
      <c r="G156" s="35"/>
      <c r="H156" s="35"/>
      <c r="I156" s="35"/>
      <c r="J156" s="56"/>
    </row>
    <row r="157" spans="1:10" x14ac:dyDescent="0.25">
      <c r="A157" s="175" t="s">
        <v>202</v>
      </c>
      <c r="B157" s="176"/>
      <c r="C157" s="176"/>
      <c r="D157" s="176"/>
      <c r="E157" s="176"/>
      <c r="F157" s="177"/>
      <c r="G157" s="35"/>
      <c r="H157" s="35"/>
      <c r="I157" s="35"/>
      <c r="J157" s="56"/>
    </row>
    <row r="158" spans="1:10" x14ac:dyDescent="0.25">
      <c r="A158" s="175" t="s">
        <v>203</v>
      </c>
      <c r="B158" s="176"/>
      <c r="C158" s="176"/>
      <c r="D158" s="176"/>
      <c r="E158" s="176"/>
      <c r="F158" s="177"/>
      <c r="G158" s="35"/>
      <c r="H158" s="35"/>
      <c r="I158" s="35"/>
      <c r="J158" s="56"/>
    </row>
    <row r="159" spans="1:10" x14ac:dyDescent="0.25">
      <c r="A159" s="175" t="s">
        <v>204</v>
      </c>
      <c r="B159" s="176"/>
      <c r="C159" s="176"/>
      <c r="D159" s="176"/>
      <c r="E159" s="176"/>
      <c r="F159" s="177"/>
      <c r="G159" s="35"/>
      <c r="H159" s="35"/>
      <c r="I159" s="35"/>
      <c r="J159" s="56"/>
    </row>
    <row r="160" spans="1:10" x14ac:dyDescent="0.25">
      <c r="A160" s="175" t="s">
        <v>205</v>
      </c>
      <c r="B160" s="176"/>
      <c r="C160" s="176"/>
      <c r="D160" s="176"/>
      <c r="E160" s="176"/>
      <c r="F160" s="177"/>
      <c r="G160" s="35"/>
      <c r="H160" s="35"/>
      <c r="I160" s="35"/>
      <c r="J160" s="56"/>
    </row>
    <row r="161" spans="1:10" x14ac:dyDescent="0.25">
      <c r="A161" s="175" t="s">
        <v>206</v>
      </c>
      <c r="B161" s="176"/>
      <c r="C161" s="176"/>
      <c r="D161" s="176"/>
      <c r="E161" s="176"/>
      <c r="F161" s="177"/>
      <c r="G161" s="35"/>
      <c r="H161" s="35"/>
      <c r="I161" s="35"/>
      <c r="J161" s="56"/>
    </row>
    <row r="162" spans="1:10" x14ac:dyDescent="0.25">
      <c r="A162" s="175" t="s">
        <v>207</v>
      </c>
      <c r="B162" s="176"/>
      <c r="C162" s="176"/>
      <c r="D162" s="176"/>
      <c r="E162" s="176"/>
      <c r="F162" s="177"/>
      <c r="G162" s="35"/>
      <c r="H162" s="35"/>
      <c r="I162" s="35"/>
      <c r="J162" s="56"/>
    </row>
    <row r="163" spans="1:10" x14ac:dyDescent="0.25">
      <c r="A163" s="175" t="s">
        <v>208</v>
      </c>
      <c r="B163" s="176"/>
      <c r="C163" s="176"/>
      <c r="D163" s="176"/>
      <c r="E163" s="176"/>
      <c r="F163" s="177"/>
      <c r="G163" s="35"/>
      <c r="H163" s="35"/>
      <c r="I163" s="35"/>
      <c r="J163" s="56"/>
    </row>
    <row r="164" spans="1:10" x14ac:dyDescent="0.25">
      <c r="A164" s="175" t="s">
        <v>209</v>
      </c>
      <c r="B164" s="176"/>
      <c r="C164" s="176"/>
      <c r="D164" s="176"/>
      <c r="E164" s="176"/>
      <c r="F164" s="177"/>
      <c r="G164" s="35"/>
      <c r="H164" s="35"/>
      <c r="I164" s="35"/>
      <c r="J164" s="56"/>
    </row>
    <row r="165" spans="1:10" x14ac:dyDescent="0.25">
      <c r="A165" s="175" t="s">
        <v>210</v>
      </c>
      <c r="B165" s="176"/>
      <c r="C165" s="176"/>
      <c r="D165" s="176"/>
      <c r="E165" s="176"/>
      <c r="F165" s="177"/>
      <c r="G165" s="35"/>
      <c r="H165" s="35"/>
      <c r="I165" s="35"/>
      <c r="J165" s="56"/>
    </row>
    <row r="166" spans="1:10" x14ac:dyDescent="0.25">
      <c r="A166" s="175" t="s">
        <v>211</v>
      </c>
      <c r="B166" s="176"/>
      <c r="C166" s="176"/>
      <c r="D166" s="176"/>
      <c r="E166" s="176"/>
      <c r="F166" s="177"/>
      <c r="G166" s="35"/>
      <c r="H166" s="35"/>
      <c r="I166" s="35"/>
      <c r="J166" s="56"/>
    </row>
    <row r="167" spans="1:10" x14ac:dyDescent="0.25">
      <c r="A167" s="175" t="s">
        <v>212</v>
      </c>
      <c r="B167" s="176"/>
      <c r="C167" s="176"/>
      <c r="D167" s="176"/>
      <c r="E167" s="176"/>
      <c r="F167" s="177"/>
      <c r="G167" s="35"/>
      <c r="H167" s="35"/>
      <c r="I167" s="35"/>
      <c r="J167" s="56"/>
    </row>
    <row r="168" spans="1:10" x14ac:dyDescent="0.25">
      <c r="A168" s="175" t="s">
        <v>213</v>
      </c>
      <c r="B168" s="176"/>
      <c r="C168" s="176"/>
      <c r="D168" s="176"/>
      <c r="E168" s="176"/>
      <c r="F168" s="177"/>
      <c r="G168" s="35"/>
      <c r="H168" s="35"/>
      <c r="I168" s="35"/>
      <c r="J168" s="56"/>
    </row>
    <row r="169" spans="1:10" x14ac:dyDescent="0.25">
      <c r="A169" s="109"/>
      <c r="B169" s="110"/>
      <c r="C169" s="110"/>
      <c r="D169" s="110"/>
      <c r="E169" s="110"/>
      <c r="F169" s="110"/>
      <c r="G169" s="35"/>
      <c r="H169" s="35"/>
      <c r="I169" s="35"/>
      <c r="J169" s="56"/>
    </row>
    <row r="170" spans="1:10" ht="28.15" customHeight="1" x14ac:dyDescent="0.25">
      <c r="A170" s="193" t="s">
        <v>380</v>
      </c>
      <c r="B170" s="193"/>
      <c r="C170" s="193"/>
      <c r="D170" s="193"/>
      <c r="E170" s="193"/>
      <c r="F170" s="193"/>
      <c r="G170" s="35"/>
      <c r="H170" s="35"/>
      <c r="I170" s="35"/>
      <c r="J170" s="56"/>
    </row>
    <row r="171" spans="1:10" x14ac:dyDescent="0.25">
      <c r="A171" s="193" t="s">
        <v>381</v>
      </c>
      <c r="B171" s="193"/>
      <c r="C171" s="193"/>
      <c r="D171" s="193"/>
      <c r="E171" s="193"/>
      <c r="F171" s="193"/>
      <c r="G171" s="35"/>
      <c r="H171" s="35"/>
      <c r="I171" s="35"/>
      <c r="J171" s="56"/>
    </row>
    <row r="172" spans="1:10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1:10" x14ac:dyDescent="0.25">
      <c r="A173" s="56" t="s">
        <v>382</v>
      </c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1:10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1:10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1:10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1:10" x14ac:dyDescent="0.25">
      <c r="A177" s="111" t="s">
        <v>383</v>
      </c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1:10" x14ac:dyDescent="0.25">
      <c r="A178" s="112" t="s">
        <v>10</v>
      </c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1:10" x14ac:dyDescent="0.25">
      <c r="A179" s="111" t="s">
        <v>235</v>
      </c>
      <c r="B179" s="56"/>
      <c r="C179" s="56"/>
      <c r="D179" s="56"/>
      <c r="E179" s="56"/>
      <c r="F179" s="56"/>
      <c r="G179" s="56"/>
      <c r="H179" s="56"/>
      <c r="I179" s="56"/>
      <c r="J179" s="56"/>
    </row>
  </sheetData>
  <mergeCells count="84">
    <mergeCell ref="A167:F167"/>
    <mergeCell ref="A168:F168"/>
    <mergeCell ref="A170:F170"/>
    <mergeCell ref="A171:F171"/>
    <mergeCell ref="A1:J1"/>
    <mergeCell ref="A2:J2"/>
    <mergeCell ref="B3:J3"/>
    <mergeCell ref="A161:F161"/>
    <mergeCell ref="A162:F162"/>
    <mergeCell ref="A163:F163"/>
    <mergeCell ref="A164:F164"/>
    <mergeCell ref="A165:F165"/>
    <mergeCell ref="A166:F166"/>
    <mergeCell ref="A155:F155"/>
    <mergeCell ref="A156:F156"/>
    <mergeCell ref="A157:F157"/>
    <mergeCell ref="A158:F158"/>
    <mergeCell ref="A159:F159"/>
    <mergeCell ref="A160:F160"/>
    <mergeCell ref="A149:F149"/>
    <mergeCell ref="A150:F150"/>
    <mergeCell ref="A151:F151"/>
    <mergeCell ref="A152:F152"/>
    <mergeCell ref="A153:F153"/>
    <mergeCell ref="A154:F154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00:F100"/>
    <mergeCell ref="A4:J4"/>
    <mergeCell ref="A27:I27"/>
    <mergeCell ref="A41:I41"/>
    <mergeCell ref="A93:F93"/>
    <mergeCell ref="A94:F94"/>
    <mergeCell ref="A95:F95"/>
    <mergeCell ref="A96:F96"/>
    <mergeCell ref="A97:F97"/>
    <mergeCell ref="A98:F98"/>
    <mergeCell ref="A99:F99"/>
  </mergeCells>
  <dataValidations count="4">
    <dataValidation type="list" allowBlank="1" sqref="B6:B12" xr:uid="{CE0AFFCD-042F-4454-A473-C97E229BCF7E}">
      <formula1>"DAS,DAS-1,DAS-2,DAS-3,DAS-4,DAS-5,CAA-1,CAA-2,CAA-3,CAA-4,CAA-5"</formula1>
    </dataValidation>
    <dataValidation type="list" allowBlank="1" sqref="B29:B32" xr:uid="{11E1B81B-41AD-44D9-A3E1-0DDFD0E6C864}">
      <formula1>"FDA,FDA-1,FDA-2,FDA-3,FDA-4"</formula1>
    </dataValidation>
    <dataValidation type="list" allowBlank="1" sqref="B43:B80" xr:uid="{C1150A60-924F-460E-B01C-5135B669D085}">
      <formula1>"FGS-1,FGS-2,FGS-3,FGA-1,FGA-2,FGA-3"</formula1>
    </dataValidation>
    <dataValidation type="list" allowBlank="1" sqref="D6:D12 D29:D32 D43:D80" xr:uid="{0D70B39B-F643-4602-AECD-B97FA402FF0D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64411-0100-4E48-9D4C-A98D7944E7B0}">
  <dimension ref="A1:AA182"/>
  <sheetViews>
    <sheetView workbookViewId="0">
      <selection sqref="A1:XFD2"/>
    </sheetView>
  </sheetViews>
  <sheetFormatPr defaultRowHeight="15" x14ac:dyDescent="0.25"/>
  <cols>
    <col min="1" max="1" width="57.42578125" style="115" customWidth="1"/>
    <col min="2" max="2" width="11.28515625" style="115" customWidth="1"/>
    <col min="3" max="3" width="17.42578125" style="115" customWidth="1"/>
    <col min="4" max="4" width="12.5703125" style="115" customWidth="1"/>
    <col min="5" max="5" width="11.28515625" style="115" customWidth="1"/>
    <col min="6" max="6" width="44.28515625" style="115" customWidth="1"/>
    <col min="7" max="7" width="10.85546875" style="115" customWidth="1"/>
    <col min="8" max="8" width="13.140625" style="115" customWidth="1"/>
    <col min="9" max="9" width="13.5703125" style="115" customWidth="1"/>
    <col min="10" max="10" width="13.85546875" style="115" customWidth="1"/>
    <col min="11" max="12" width="41.85546875" style="115" customWidth="1"/>
  </cols>
  <sheetData>
    <row r="1" spans="1:27" ht="21" x14ac:dyDescent="0.35">
      <c r="A1" s="194" t="s">
        <v>368</v>
      </c>
      <c r="B1" s="195"/>
      <c r="C1" s="195"/>
      <c r="D1" s="195"/>
      <c r="E1" s="195"/>
      <c r="F1" s="195"/>
      <c r="G1" s="195"/>
      <c r="H1" s="195"/>
      <c r="I1" s="195"/>
      <c r="J1" s="19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ht="23.25" customHeight="1" x14ac:dyDescent="0.25">
      <c r="A3" s="123" t="s">
        <v>395</v>
      </c>
      <c r="B3" s="202" t="s">
        <v>11</v>
      </c>
      <c r="C3" s="125"/>
      <c r="D3" s="125"/>
      <c r="E3" s="125"/>
      <c r="F3" s="125"/>
      <c r="G3" s="125"/>
      <c r="H3" s="125"/>
      <c r="I3" s="125"/>
      <c r="J3" s="126"/>
    </row>
    <row r="4" spans="1:27" x14ac:dyDescent="0.25">
      <c r="A4" s="203" t="s">
        <v>12</v>
      </c>
      <c r="B4" s="204"/>
      <c r="C4" s="204"/>
      <c r="D4" s="204"/>
      <c r="E4" s="204"/>
      <c r="F4" s="204"/>
      <c r="G4" s="204"/>
      <c r="H4" s="204"/>
      <c r="I4" s="204"/>
      <c r="J4" s="205"/>
    </row>
    <row r="5" spans="1:27" ht="22.5" x14ac:dyDescent="0.25">
      <c r="A5" s="63" t="s">
        <v>13</v>
      </c>
      <c r="B5" s="64" t="s">
        <v>14</v>
      </c>
      <c r="C5" s="64" t="s">
        <v>15</v>
      </c>
      <c r="D5" s="64" t="s">
        <v>16</v>
      </c>
      <c r="E5" s="64" t="s">
        <v>17</v>
      </c>
      <c r="F5" s="63" t="s">
        <v>18</v>
      </c>
      <c r="G5" s="64" t="s">
        <v>19</v>
      </c>
      <c r="H5" s="64" t="s">
        <v>20</v>
      </c>
      <c r="I5" s="64" t="s">
        <v>21</v>
      </c>
      <c r="J5" s="64" t="s">
        <v>281</v>
      </c>
    </row>
    <row r="6" spans="1:27" x14ac:dyDescent="0.25">
      <c r="A6" s="65" t="s">
        <v>282</v>
      </c>
      <c r="B6" s="66" t="s">
        <v>0</v>
      </c>
      <c r="C6" s="67" t="s">
        <v>338</v>
      </c>
      <c r="D6" s="67" t="s">
        <v>24</v>
      </c>
      <c r="E6" s="68">
        <v>1</v>
      </c>
      <c r="F6" s="69" t="s">
        <v>284</v>
      </c>
      <c r="G6" s="70">
        <v>0</v>
      </c>
      <c r="H6" s="70">
        <v>8479.33</v>
      </c>
      <c r="I6" s="70">
        <v>9360</v>
      </c>
      <c r="J6" s="71">
        <v>17839.330000000002</v>
      </c>
    </row>
    <row r="7" spans="1:27" x14ac:dyDescent="0.25">
      <c r="A7" s="65" t="s">
        <v>285</v>
      </c>
      <c r="B7" s="66" t="s">
        <v>2</v>
      </c>
      <c r="C7" s="67" t="s">
        <v>27</v>
      </c>
      <c r="D7" s="67" t="s">
        <v>28</v>
      </c>
      <c r="E7" s="68">
        <v>1</v>
      </c>
      <c r="F7" s="69" t="s">
        <v>370</v>
      </c>
      <c r="G7" s="70">
        <v>0</v>
      </c>
      <c r="H7" s="70">
        <v>1079.06</v>
      </c>
      <c r="I7" s="70">
        <v>4316.21</v>
      </c>
      <c r="J7" s="71">
        <v>5395.27</v>
      </c>
    </row>
    <row r="8" spans="1:27" x14ac:dyDescent="0.25">
      <c r="A8" s="65" t="s">
        <v>38</v>
      </c>
      <c r="B8" s="67" t="s">
        <v>2</v>
      </c>
      <c r="C8" s="67" t="s">
        <v>39</v>
      </c>
      <c r="D8" s="67" t="s">
        <v>28</v>
      </c>
      <c r="E8" s="68">
        <v>1</v>
      </c>
      <c r="F8" s="69" t="s">
        <v>339</v>
      </c>
      <c r="G8" s="70">
        <v>0</v>
      </c>
      <c r="H8" s="70">
        <v>1079.06</v>
      </c>
      <c r="I8" s="70">
        <v>4316.21</v>
      </c>
      <c r="J8" s="71">
        <v>5395.27</v>
      </c>
    </row>
    <row r="9" spans="1:27" ht="15" customHeight="1" x14ac:dyDescent="0.25">
      <c r="A9" s="65" t="s">
        <v>288</v>
      </c>
      <c r="B9" s="66" t="s">
        <v>9</v>
      </c>
      <c r="C9" s="67" t="s">
        <v>37</v>
      </c>
      <c r="D9" s="67" t="s">
        <v>28</v>
      </c>
      <c r="E9" s="68">
        <v>1</v>
      </c>
      <c r="F9" s="69" t="s">
        <v>394</v>
      </c>
      <c r="G9" s="70">
        <v>0</v>
      </c>
      <c r="H9" s="70">
        <v>500.99</v>
      </c>
      <c r="I9" s="70">
        <v>2003.96</v>
      </c>
      <c r="J9" s="71">
        <v>2504.9499999999998</v>
      </c>
    </row>
    <row r="10" spans="1:27" x14ac:dyDescent="0.25">
      <c r="A10" s="65" t="s">
        <v>290</v>
      </c>
      <c r="B10" s="66" t="s">
        <v>8</v>
      </c>
      <c r="C10" s="67" t="s">
        <v>35</v>
      </c>
      <c r="D10" s="67" t="s">
        <v>28</v>
      </c>
      <c r="E10" s="68">
        <v>1</v>
      </c>
      <c r="F10" s="69" t="s">
        <v>311</v>
      </c>
      <c r="G10" s="70">
        <v>0</v>
      </c>
      <c r="H10" s="70">
        <v>700.75</v>
      </c>
      <c r="I10" s="70">
        <v>3083.01</v>
      </c>
      <c r="J10" s="71">
        <v>3783.76</v>
      </c>
    </row>
    <row r="11" spans="1:27" x14ac:dyDescent="0.25">
      <c r="A11" s="65" t="s">
        <v>268</v>
      </c>
      <c r="B11" s="66" t="s">
        <v>8</v>
      </c>
      <c r="C11" s="67" t="s">
        <v>30</v>
      </c>
      <c r="D11" s="67" t="s">
        <v>28</v>
      </c>
      <c r="E11" s="68">
        <v>1</v>
      </c>
      <c r="F11" s="69" t="s">
        <v>312</v>
      </c>
      <c r="G11" s="70">
        <v>0</v>
      </c>
      <c r="H11" s="70">
        <v>700.75</v>
      </c>
      <c r="I11" s="70">
        <v>3083.01</v>
      </c>
      <c r="J11" s="71">
        <v>2504.9499999999998</v>
      </c>
    </row>
    <row r="12" spans="1:27" x14ac:dyDescent="0.25">
      <c r="A12" s="65" t="s">
        <v>393</v>
      </c>
      <c r="B12" s="66" t="s">
        <v>8</v>
      </c>
      <c r="C12" s="67" t="s">
        <v>33</v>
      </c>
      <c r="D12" s="67" t="s">
        <v>28</v>
      </c>
      <c r="E12" s="68">
        <v>1</v>
      </c>
      <c r="F12" s="69" t="s">
        <v>313</v>
      </c>
      <c r="G12" s="70">
        <v>0</v>
      </c>
      <c r="H12" s="70">
        <v>700.75</v>
      </c>
      <c r="I12" s="70">
        <v>3083.01</v>
      </c>
      <c r="J12" s="70">
        <v>0</v>
      </c>
    </row>
    <row r="13" spans="1:27" x14ac:dyDescent="0.25">
      <c r="A13" s="65" t="s">
        <v>31</v>
      </c>
      <c r="B13" s="66" t="s">
        <v>32</v>
      </c>
      <c r="C13" s="67"/>
      <c r="D13" s="67" t="s">
        <v>28</v>
      </c>
      <c r="E13" s="68">
        <v>1</v>
      </c>
      <c r="F13" s="122" t="s">
        <v>392</v>
      </c>
      <c r="G13" s="70">
        <v>0</v>
      </c>
      <c r="H13" s="70">
        <v>0</v>
      </c>
      <c r="I13" s="70">
        <v>0</v>
      </c>
      <c r="J13" s="70">
        <v>0</v>
      </c>
    </row>
    <row r="14" spans="1:27" ht="33.75" x14ac:dyDescent="0.25">
      <c r="A14" s="72" t="s">
        <v>40</v>
      </c>
      <c r="B14" s="72" t="s">
        <v>41</v>
      </c>
      <c r="C14" s="73" t="s">
        <v>42</v>
      </c>
      <c r="D14" s="73" t="s">
        <v>43</v>
      </c>
      <c r="E14" s="73" t="s">
        <v>44</v>
      </c>
      <c r="F14" s="74"/>
      <c r="G14" s="73" t="s">
        <v>45</v>
      </c>
      <c r="H14" s="73" t="s">
        <v>46</v>
      </c>
      <c r="I14" s="73" t="s">
        <v>47</v>
      </c>
    </row>
    <row r="15" spans="1:27" ht="15" customHeight="1" x14ac:dyDescent="0.25">
      <c r="A15" s="75" t="s">
        <v>48</v>
      </c>
      <c r="B15" s="76" t="s">
        <v>49</v>
      </c>
      <c r="C15" s="77">
        <f ca="1">SUMIFS($E$13:$E$16,$B$13:$B$16,"DAS",$D$13:$D$16,"&lt;&gt;VAGO")</f>
        <v>0</v>
      </c>
      <c r="D15" s="77">
        <f ca="1">SUMIFS($E$13:$E$16,$B$13:$B$16,"DAS",$D$13:$D$16,"VAGO")</f>
        <v>0</v>
      </c>
      <c r="E15" s="77">
        <f ca="1">C15+D15</f>
        <v>0</v>
      </c>
      <c r="F15" s="78"/>
      <c r="G15" s="79">
        <f ca="1">SUMIF($B$13:$B$16,"DAS",$G$13:$G$16)</f>
        <v>0</v>
      </c>
      <c r="H15" s="79">
        <f ca="1">SUMIF($B$13:$B$16,"DAS",$H$13:$H$16)</f>
        <v>0</v>
      </c>
      <c r="I15" s="79">
        <f ca="1">SUMIF($B$13:$B$16,"DAS",$I$13:$I$16)</f>
        <v>0</v>
      </c>
    </row>
    <row r="16" spans="1:27" ht="15" customHeight="1" x14ac:dyDescent="0.25">
      <c r="A16" s="75" t="s">
        <v>50</v>
      </c>
      <c r="B16" s="76" t="s">
        <v>0</v>
      </c>
      <c r="C16" s="77">
        <v>1</v>
      </c>
      <c r="D16" s="77">
        <f ca="1">SUMIFS($E$13:$E$16,$B$13:$B$16,"DAS-1",$D$13:$D$16,"VAGO")</f>
        <v>0</v>
      </c>
      <c r="E16" s="77">
        <f ca="1">C16+D16</f>
        <v>1</v>
      </c>
      <c r="F16" s="61"/>
      <c r="G16" s="79">
        <f ca="1">SUMIF($B$13:$B$16,"DAS-1",$G$13:$G$16)</f>
        <v>0</v>
      </c>
      <c r="H16" s="80">
        <v>8479.33</v>
      </c>
      <c r="I16" s="80">
        <v>9360</v>
      </c>
    </row>
    <row r="17" spans="1:9" ht="15" customHeight="1" x14ac:dyDescent="0.25">
      <c r="A17" s="75" t="s">
        <v>51</v>
      </c>
      <c r="B17" s="76" t="s">
        <v>52</v>
      </c>
      <c r="C17" s="77">
        <f>SUMIFS($E$13:$E$16,$B$13:$B$16,"DAS-2",$D$13:$D$16,"&lt;&gt;VAGO")</f>
        <v>0</v>
      </c>
      <c r="D17" s="77">
        <v>0</v>
      </c>
      <c r="E17" s="77">
        <f>C17+D17</f>
        <v>0</v>
      </c>
      <c r="F17" s="61"/>
      <c r="G17" s="79">
        <f>SUMIF($B$13:$B$16,"DAS-2",$G$13:$G$16)</f>
        <v>0</v>
      </c>
      <c r="H17" s="79">
        <f>SUMIF($B$13:$B$16,"DAS-2",$H$13:$H$16)</f>
        <v>0</v>
      </c>
      <c r="I17" s="79">
        <f>SUMIF($B$13:$B$16,"DAS-2",$I$13:$I$16)</f>
        <v>0</v>
      </c>
    </row>
    <row r="18" spans="1:9" ht="15" customHeight="1" x14ac:dyDescent="0.25">
      <c r="A18" s="75" t="s">
        <v>53</v>
      </c>
      <c r="B18" s="76" t="s">
        <v>54</v>
      </c>
      <c r="C18" s="77">
        <f>SUMIFS($E$13:$E$16,$B$13:$B$16,"DAS-3",$D$13:$D$16,"&lt;&gt;VAGO")</f>
        <v>0</v>
      </c>
      <c r="D18" s="77">
        <f>SUMIFS($E$13:$E$16,$B$13:$B$16,"DAS-3",$D$13:$D$16,"VAGO")</f>
        <v>0</v>
      </c>
      <c r="E18" s="77">
        <f>C18+D18</f>
        <v>0</v>
      </c>
      <c r="F18" s="61"/>
      <c r="G18" s="79">
        <f>SUMIF($B$13:$B$16,"DAS-3",$G$13:$G$16)</f>
        <v>0</v>
      </c>
      <c r="H18" s="79">
        <f>SUMIF($B$13:$B$16,"DAS-3",$H$13:$H$16)</f>
        <v>0</v>
      </c>
      <c r="I18" s="79">
        <f>SUMIF($B$13:$B$16,"DAS-3",$I$13:$I$16)</f>
        <v>0</v>
      </c>
    </row>
    <row r="19" spans="1:9" ht="15" customHeight="1" x14ac:dyDescent="0.25">
      <c r="A19" s="81" t="s">
        <v>55</v>
      </c>
      <c r="B19" s="76" t="s">
        <v>56</v>
      </c>
      <c r="C19" s="77">
        <f>SUMIFS($E$13:$E$16,$B$13:$B$16,"DAS-4",$D$13:$D$16,"&lt;&gt;VAGO")</f>
        <v>0</v>
      </c>
      <c r="D19" s="77">
        <f>SUMIFS($E$13:$E$16,$B$13:$B$16,"DAS-4",$D$13:$D$16,"VAGO")</f>
        <v>0</v>
      </c>
      <c r="E19" s="77">
        <f>C19+D19</f>
        <v>0</v>
      </c>
      <c r="F19" s="82"/>
      <c r="G19" s="79">
        <f>SUMIF($B$13:$B$16,"DAS-4",$G$13:$G$16)</f>
        <v>0</v>
      </c>
      <c r="H19" s="79">
        <f>SUMIF($B$13:$B$16,"DAS-4",$H$13:$H$16)</f>
        <v>0</v>
      </c>
      <c r="I19" s="79">
        <f>SUMIF($B$13:$B$16,"DAS-4",$I$13:$I$16)</f>
        <v>0</v>
      </c>
    </row>
    <row r="20" spans="1:9" ht="15" customHeight="1" x14ac:dyDescent="0.25">
      <c r="A20" s="81" t="s">
        <v>57</v>
      </c>
      <c r="B20" s="76" t="s">
        <v>2</v>
      </c>
      <c r="C20" s="77">
        <v>2</v>
      </c>
      <c r="D20" s="77">
        <v>0</v>
      </c>
      <c r="E20" s="77">
        <v>2</v>
      </c>
      <c r="F20" s="82"/>
      <c r="G20" s="79">
        <f>SUMIF($B$13:$B$16,"DAS-5",$G$13:$G$16)</f>
        <v>0</v>
      </c>
      <c r="H20" s="80">
        <v>2079.12</v>
      </c>
      <c r="I20" s="80">
        <v>8632.42</v>
      </c>
    </row>
    <row r="21" spans="1:9" ht="15" customHeight="1" x14ac:dyDescent="0.25">
      <c r="A21" s="81" t="s">
        <v>58</v>
      </c>
      <c r="B21" s="76" t="s">
        <v>59</v>
      </c>
      <c r="C21" s="77">
        <f>SUMIFS($E$13:$E$16,$B$13:$B$16,"CAA-1",$D$13:$D$16,"&lt;&gt;VAGO")</f>
        <v>0</v>
      </c>
      <c r="D21" s="77">
        <f>SUMIFS($E$13:$E$16,$B$13:$B$16,"CAA-1",$D$13:$D$16,"VAGO")</f>
        <v>0</v>
      </c>
      <c r="E21" s="77">
        <f>C21+D21</f>
        <v>0</v>
      </c>
      <c r="F21" s="82"/>
      <c r="G21" s="79">
        <f>SUMIF($B$13:$B$16,"CAA-1",$G$13:$G$16)</f>
        <v>0</v>
      </c>
      <c r="H21" s="79">
        <f>SUMIF($B$13:$B$16,"CAA-1",$H$13:$H$16)</f>
        <v>0</v>
      </c>
      <c r="I21" s="79">
        <f>SUMIF($B$13:$B$16,"CAA-1",$I$13:$I$16)</f>
        <v>0</v>
      </c>
    </row>
    <row r="22" spans="1:9" ht="15" customHeight="1" x14ac:dyDescent="0.25">
      <c r="A22" s="81" t="s">
        <v>60</v>
      </c>
      <c r="B22" s="76" t="s">
        <v>8</v>
      </c>
      <c r="C22" s="77">
        <v>3</v>
      </c>
      <c r="D22" s="77">
        <v>0</v>
      </c>
      <c r="E22" s="77">
        <v>3</v>
      </c>
      <c r="F22" s="82"/>
      <c r="G22" s="79">
        <f>SUMIF($B$13:$B$16,"CAA-2",$G$13:$G$16)</f>
        <v>0</v>
      </c>
      <c r="H22" s="80">
        <v>1401.5</v>
      </c>
      <c r="I22" s="80">
        <v>6166.02</v>
      </c>
    </row>
    <row r="23" spans="1:9" ht="15" customHeight="1" x14ac:dyDescent="0.25">
      <c r="A23" s="81" t="s">
        <v>61</v>
      </c>
      <c r="B23" s="76" t="s">
        <v>9</v>
      </c>
      <c r="C23" s="77">
        <v>1</v>
      </c>
      <c r="D23" s="77">
        <v>0</v>
      </c>
      <c r="E23" s="77">
        <f>C23+D23</f>
        <v>1</v>
      </c>
      <c r="F23" s="61" t="s">
        <v>269</v>
      </c>
      <c r="G23" s="79">
        <f>SUMIF($B$13:$B$16,"CAA-3",$G$13:$G$16)</f>
        <v>0</v>
      </c>
      <c r="H23" s="80">
        <v>500.99</v>
      </c>
      <c r="I23" s="80">
        <v>2003.96</v>
      </c>
    </row>
    <row r="24" spans="1:9" ht="15" customHeight="1" x14ac:dyDescent="0.25">
      <c r="A24" s="81" t="s">
        <v>62</v>
      </c>
      <c r="B24" s="76" t="s">
        <v>32</v>
      </c>
      <c r="C24" s="77">
        <v>1</v>
      </c>
      <c r="D24" s="77">
        <v>1</v>
      </c>
      <c r="E24" s="77">
        <v>0</v>
      </c>
      <c r="F24" s="61"/>
      <c r="G24" s="79">
        <f>SUMIF($B$13:$B$16,"CAA-4",$G$13:$G$16)</f>
        <v>0</v>
      </c>
      <c r="H24" s="79">
        <f>SUMIF($B$13:$B$16,"CAA-4",$G$13:$G$16)</f>
        <v>0</v>
      </c>
      <c r="I24" s="79">
        <f>SUMIF($B$13:$B$16,"CAA-4",$G$13:$G$16)</f>
        <v>0</v>
      </c>
    </row>
    <row r="25" spans="1:9" ht="15" customHeight="1" x14ac:dyDescent="0.25">
      <c r="A25" s="81" t="s">
        <v>63</v>
      </c>
      <c r="B25" s="76" t="s">
        <v>64</v>
      </c>
      <c r="C25" s="77">
        <f>SUMIFS($E$13:$E$16,$B$13:$B$16,"CAA-5",$D$13:$D$16,"&lt;&gt;VAGO")</f>
        <v>0</v>
      </c>
      <c r="D25" s="77">
        <f>SUMIFS($E$13:$E$16,$B$13:$B$16,"CAA-5",$D$13:$D$16,"VAGO")</f>
        <v>0</v>
      </c>
      <c r="E25" s="77">
        <f>C25+D25</f>
        <v>0</v>
      </c>
      <c r="F25" s="61"/>
      <c r="G25" s="79">
        <f>SUMIF($B$13:$B$16,"CAA-5",$G$13:$G$16)</f>
        <v>0</v>
      </c>
      <c r="H25" s="79">
        <f>SUMIF($B$13:$B$16,"CAA-5",$H$13:$H$16)</f>
        <v>0</v>
      </c>
      <c r="I25" s="79">
        <f>SUMIF($B$13:$B$16,"CAA-5",$I$13:$I$16)</f>
        <v>0</v>
      </c>
    </row>
    <row r="26" spans="1:9" ht="66.95" customHeight="1" x14ac:dyDescent="0.25">
      <c r="A26" s="72" t="s">
        <v>65</v>
      </c>
      <c r="B26" s="83"/>
      <c r="C26" s="73">
        <v>7</v>
      </c>
      <c r="D26" s="73">
        <v>0</v>
      </c>
      <c r="E26" s="73">
        <v>8</v>
      </c>
      <c r="F26" s="83"/>
      <c r="G26" s="84">
        <f ca="1">SUM(G15:G25)</f>
        <v>0</v>
      </c>
      <c r="H26" s="84">
        <v>13872.44</v>
      </c>
      <c r="I26" s="84">
        <v>32828.42</v>
      </c>
    </row>
    <row r="27" spans="1:9" x14ac:dyDescent="0.25">
      <c r="A27" s="85"/>
      <c r="B27" s="85"/>
      <c r="C27" s="85"/>
      <c r="D27" s="85"/>
      <c r="E27" s="85"/>
      <c r="F27" s="85"/>
      <c r="G27" s="85"/>
      <c r="H27" s="86"/>
      <c r="I27" s="86"/>
    </row>
    <row r="28" spans="1:9" x14ac:dyDescent="0.25">
      <c r="A28" s="171" t="s">
        <v>66</v>
      </c>
      <c r="B28" s="125"/>
      <c r="C28" s="125"/>
      <c r="D28" s="125"/>
      <c r="E28" s="125"/>
      <c r="F28" s="125"/>
      <c r="G28" s="125"/>
      <c r="H28" s="125"/>
      <c r="I28" s="126"/>
    </row>
    <row r="29" spans="1:9" ht="22.5" x14ac:dyDescent="0.25">
      <c r="A29" s="64" t="s">
        <v>67</v>
      </c>
      <c r="B29" s="64" t="s">
        <v>68</v>
      </c>
      <c r="C29" s="64" t="s">
        <v>69</v>
      </c>
      <c r="D29" s="64" t="s">
        <v>70</v>
      </c>
      <c r="E29" s="64" t="s">
        <v>71</v>
      </c>
      <c r="F29" s="64" t="s">
        <v>72</v>
      </c>
      <c r="G29" s="64" t="s">
        <v>73</v>
      </c>
      <c r="H29" s="64" t="s">
        <v>74</v>
      </c>
      <c r="I29" s="64" t="s">
        <v>75</v>
      </c>
    </row>
    <row r="30" spans="1:9" ht="15" customHeight="1" x14ac:dyDescent="0.25">
      <c r="A30" s="54" t="s">
        <v>81</v>
      </c>
      <c r="B30" s="87" t="s">
        <v>3</v>
      </c>
      <c r="C30" s="67" t="s">
        <v>35</v>
      </c>
      <c r="D30" s="67" t="s">
        <v>24</v>
      </c>
      <c r="E30" s="76">
        <v>1</v>
      </c>
      <c r="F30" s="114" t="s">
        <v>25</v>
      </c>
      <c r="G30" s="79">
        <v>8903.2999999999993</v>
      </c>
      <c r="H30" s="79">
        <v>4316.21</v>
      </c>
      <c r="I30" s="79">
        <v>13219.51</v>
      </c>
    </row>
    <row r="31" spans="1:9" ht="15" customHeight="1" x14ac:dyDescent="0.25">
      <c r="A31" s="54" t="s">
        <v>77</v>
      </c>
      <c r="B31" s="87" t="s">
        <v>3</v>
      </c>
      <c r="C31" s="67" t="s">
        <v>78</v>
      </c>
      <c r="D31" s="67" t="s">
        <v>24</v>
      </c>
      <c r="E31" s="76">
        <v>1</v>
      </c>
      <c r="F31" s="88" t="s">
        <v>295</v>
      </c>
      <c r="G31" s="89">
        <v>5404.89</v>
      </c>
      <c r="H31" s="79">
        <v>1726.48</v>
      </c>
      <c r="I31" s="79">
        <v>7131.37</v>
      </c>
    </row>
    <row r="32" spans="1:9" ht="15" customHeight="1" x14ac:dyDescent="0.25">
      <c r="A32" s="54" t="s">
        <v>79</v>
      </c>
      <c r="B32" s="87" t="s">
        <v>3</v>
      </c>
      <c r="C32" s="67" t="s">
        <v>80</v>
      </c>
      <c r="D32" s="67" t="s">
        <v>24</v>
      </c>
      <c r="E32" s="76">
        <v>1</v>
      </c>
      <c r="F32" s="54" t="s">
        <v>296</v>
      </c>
      <c r="G32" s="79">
        <v>7691</v>
      </c>
      <c r="H32" s="79">
        <v>3884.59</v>
      </c>
      <c r="I32" s="79">
        <v>11575.59</v>
      </c>
    </row>
    <row r="33" spans="1:10" ht="15" customHeight="1" x14ac:dyDescent="0.25">
      <c r="A33" s="54" t="s">
        <v>76</v>
      </c>
      <c r="B33" s="87" t="s">
        <v>1</v>
      </c>
      <c r="C33" s="67" t="s">
        <v>35</v>
      </c>
      <c r="D33" s="67" t="s">
        <v>24</v>
      </c>
      <c r="E33" s="76">
        <v>1</v>
      </c>
      <c r="F33" s="88" t="s">
        <v>297</v>
      </c>
      <c r="G33" s="79">
        <v>7691</v>
      </c>
      <c r="H33" s="79">
        <v>3083.01</v>
      </c>
      <c r="I33" s="79">
        <v>10777.01</v>
      </c>
    </row>
    <row r="34" spans="1:10" ht="66.95" customHeight="1" x14ac:dyDescent="0.25">
      <c r="A34" s="72" t="s">
        <v>82</v>
      </c>
      <c r="B34" s="72" t="s">
        <v>83</v>
      </c>
      <c r="C34" s="73" t="s">
        <v>84</v>
      </c>
      <c r="D34" s="73" t="s">
        <v>85</v>
      </c>
      <c r="E34" s="73" t="s">
        <v>86</v>
      </c>
      <c r="F34" s="90"/>
      <c r="G34" s="73" t="s">
        <v>87</v>
      </c>
      <c r="H34" s="73" t="s">
        <v>88</v>
      </c>
      <c r="I34" s="73" t="s">
        <v>89</v>
      </c>
    </row>
    <row r="35" spans="1:10" ht="15" customHeight="1" x14ac:dyDescent="0.25">
      <c r="A35" s="75" t="s">
        <v>90</v>
      </c>
      <c r="B35" s="91" t="s">
        <v>91</v>
      </c>
      <c r="C35" s="77">
        <f ca="1">SUMIFS($E$30:$E$36,$B$30:$B$36,"FDA",$D$30:$D$36,"&lt;&gt;VAGO")</f>
        <v>0</v>
      </c>
      <c r="D35" s="77">
        <f ca="1">SUMIFS($E$30:$E$36,$B$30:$B$36,"FDA",$D$30:$D$36,"VAGO")</f>
        <v>0</v>
      </c>
      <c r="E35" s="77">
        <f ca="1">C35+D35</f>
        <v>0</v>
      </c>
      <c r="F35" s="78"/>
      <c r="G35" s="92">
        <f ca="1">SUMIF($B$30:$B$36,"FDA",$G$30:$G$36)</f>
        <v>0</v>
      </c>
      <c r="H35" s="92">
        <f ca="1">SUMIF($B$30:$B$36,"FDA",$H$30:$H$36)</f>
        <v>0</v>
      </c>
      <c r="I35" s="92">
        <f ca="1">SUMIF($B$30:$B$36,"FDA",$I$30:$I$36)</f>
        <v>0</v>
      </c>
    </row>
    <row r="36" spans="1:10" ht="15" customHeight="1" x14ac:dyDescent="0.25">
      <c r="A36" s="75" t="s">
        <v>92</v>
      </c>
      <c r="B36" s="91" t="s">
        <v>93</v>
      </c>
      <c r="C36" s="77">
        <f ca="1">SUMIFS($E$30:$E$36,$B$30:$B$36,"FDA-1",$D$30:$D$36,"&lt;&gt;VAGO")</f>
        <v>0</v>
      </c>
      <c r="D36" s="77">
        <f ca="1">SUMIFS($E$30:$E$36,$B$30:$B$36,"FDA-1",$D$30:$D$36,"VAGO")</f>
        <v>0</v>
      </c>
      <c r="E36" s="77">
        <f ca="1">C36+D36</f>
        <v>0</v>
      </c>
      <c r="F36" s="78"/>
      <c r="G36" s="92">
        <f ca="1">SUMIF($B$30:$B$36,"FDA-1",$G$30:$G$36)</f>
        <v>0</v>
      </c>
      <c r="H36" s="92">
        <f ca="1">SUMIF($B$30:$B$36,"FDA-1",$H$30:$H$36)</f>
        <v>0</v>
      </c>
      <c r="I36" s="92">
        <f ca="1">SUMIF($B$30:$B$36,"FDA-1",$I$30:$I$36)</f>
        <v>0</v>
      </c>
    </row>
    <row r="37" spans="1:10" ht="15" customHeight="1" x14ac:dyDescent="0.25">
      <c r="A37" s="75" t="s">
        <v>94</v>
      </c>
      <c r="B37" s="91" t="s">
        <v>95</v>
      </c>
      <c r="C37" s="77">
        <f>SUMIFS($E$30:$E$36,$B$30:$B$36,"FDA-2",$D$30:$D$36,"&lt;&gt;VAGO")</f>
        <v>0</v>
      </c>
      <c r="D37" s="77">
        <f>SUMIFS($E$30:$E$36,$B$30:$B$36,"FDA-2",$D$30:$D$36,"VAGO")</f>
        <v>0</v>
      </c>
      <c r="E37" s="77">
        <f>C37+D37</f>
        <v>0</v>
      </c>
      <c r="F37" s="61"/>
      <c r="G37" s="92">
        <f>SUMIF($B$30:$B$36,"FDA-2",$G$30:$G$36)</f>
        <v>0</v>
      </c>
      <c r="H37" s="92">
        <f>SUMIF($B$30:$B$36,"FDA-2",$H$30:$H$36)</f>
        <v>0</v>
      </c>
      <c r="I37" s="92">
        <f>SUMIF($B$30:$B$36,"FDA-2",$I$30:$I$36)</f>
        <v>0</v>
      </c>
    </row>
    <row r="38" spans="1:10" ht="15" customHeight="1" x14ac:dyDescent="0.25">
      <c r="A38" s="75" t="s">
        <v>96</v>
      </c>
      <c r="B38" s="91" t="s">
        <v>3</v>
      </c>
      <c r="C38" s="77">
        <f>SUMIFS($E$30:$E$36,$B$30:$B$36,"FDA-3",$D$30:$D$36,"&lt;&gt;VAGO")</f>
        <v>3</v>
      </c>
      <c r="D38" s="77">
        <f>SUMIFS($E$30:$E$36,$B$30:$B$36,"FDA-3",$D$30:$D$36,"VAGO")</f>
        <v>0</v>
      </c>
      <c r="E38" s="77">
        <f>C38+D38</f>
        <v>3</v>
      </c>
      <c r="F38" s="82" t="s">
        <v>371</v>
      </c>
      <c r="G38" s="92">
        <v>21999.19</v>
      </c>
      <c r="H38" s="92">
        <v>9927.2800000000007</v>
      </c>
      <c r="I38" s="92">
        <v>31916.47</v>
      </c>
    </row>
    <row r="39" spans="1:10" ht="15" customHeight="1" x14ac:dyDescent="0.25">
      <c r="A39" s="75" t="s">
        <v>97</v>
      </c>
      <c r="B39" s="91" t="s">
        <v>1</v>
      </c>
      <c r="C39" s="77">
        <f>SUMIFS($E$30:$E$36,$B$30:$B$36,"FDA-4",$D$30:$D$36,"&lt;&gt;VAGO")</f>
        <v>1</v>
      </c>
      <c r="D39" s="77">
        <f>SUMIFS($E$30:$E$36,$B$30:$B$36,"FDA-4",$D$30:$D$36,"VAGO")</f>
        <v>0</v>
      </c>
      <c r="E39" s="77">
        <f>C39+D39</f>
        <v>1</v>
      </c>
      <c r="F39" s="61" t="s">
        <v>299</v>
      </c>
      <c r="G39" s="92">
        <f>SUMIF($B$30:$B$36,"FDA-4",$G$30:$G$36)</f>
        <v>7691</v>
      </c>
      <c r="H39" s="92">
        <f>SUMIF($B$30:$B$36,"FDA-4",$H$30:$H$36)</f>
        <v>3083.01</v>
      </c>
      <c r="I39" s="92">
        <f>SUMIF($B$30:$B$36,"FDA-4",$I$30:$I$36)</f>
        <v>10777.01</v>
      </c>
    </row>
    <row r="40" spans="1:10" ht="22.5" x14ac:dyDescent="0.25">
      <c r="A40" s="72" t="s">
        <v>98</v>
      </c>
      <c r="B40" s="90"/>
      <c r="C40" s="73">
        <f ca="1">SUM(C36:C39)</f>
        <v>4</v>
      </c>
      <c r="D40" s="73">
        <f ca="1">SUM(D36:D39)</f>
        <v>0</v>
      </c>
      <c r="E40" s="73">
        <f ca="1">SUM(E36:E39)</f>
        <v>4</v>
      </c>
      <c r="F40" s="90"/>
      <c r="G40" s="93">
        <v>29690.19</v>
      </c>
      <c r="H40" s="93">
        <v>13010.29</v>
      </c>
      <c r="I40" s="93">
        <v>42700.480000000003</v>
      </c>
    </row>
    <row r="41" spans="1:10" x14ac:dyDescent="0.25">
      <c r="A41" s="94"/>
      <c r="B41" s="94"/>
      <c r="C41" s="94"/>
      <c r="D41" s="94"/>
      <c r="E41" s="94"/>
      <c r="F41" s="94"/>
      <c r="G41" s="94"/>
      <c r="H41" s="94"/>
      <c r="I41" s="95"/>
    </row>
    <row r="42" spans="1:10" x14ac:dyDescent="0.25">
      <c r="A42" s="171" t="s">
        <v>99</v>
      </c>
      <c r="B42" s="125"/>
      <c r="C42" s="125"/>
      <c r="D42" s="125"/>
      <c r="E42" s="125"/>
      <c r="F42" s="125"/>
      <c r="G42" s="125"/>
      <c r="H42" s="125"/>
      <c r="I42" s="126"/>
    </row>
    <row r="43" spans="1:10" ht="22.5" x14ac:dyDescent="0.25">
      <c r="A43" s="96" t="s">
        <v>100</v>
      </c>
      <c r="B43" s="64" t="s">
        <v>101</v>
      </c>
      <c r="C43" s="64" t="s">
        <v>102</v>
      </c>
      <c r="D43" s="64" t="s">
        <v>103</v>
      </c>
      <c r="E43" s="64" t="s">
        <v>104</v>
      </c>
      <c r="F43" s="64" t="s">
        <v>105</v>
      </c>
      <c r="G43" s="64" t="s">
        <v>106</v>
      </c>
      <c r="H43" s="64" t="s">
        <v>107</v>
      </c>
      <c r="I43" s="64" t="s">
        <v>108</v>
      </c>
    </row>
    <row r="44" spans="1:10" ht="15" customHeight="1" x14ac:dyDescent="0.25">
      <c r="A44" s="97" t="s">
        <v>270</v>
      </c>
      <c r="B44" s="98" t="s">
        <v>4</v>
      </c>
      <c r="C44" s="99"/>
      <c r="D44" s="99" t="s">
        <v>24</v>
      </c>
      <c r="E44" s="100">
        <v>1</v>
      </c>
      <c r="F44" s="101" t="s">
        <v>271</v>
      </c>
      <c r="G44" s="102">
        <v>5933.35</v>
      </c>
      <c r="H44" s="102">
        <v>1392.8</v>
      </c>
      <c r="I44" s="92">
        <f>SUM(G44:H44)</f>
        <v>7326.1500000000005</v>
      </c>
      <c r="J44" s="121"/>
    </row>
    <row r="45" spans="1:10" ht="15" customHeight="1" x14ac:dyDescent="0.25">
      <c r="A45" s="97" t="s">
        <v>272</v>
      </c>
      <c r="B45" s="98" t="s">
        <v>4</v>
      </c>
      <c r="C45" s="99"/>
      <c r="D45" s="99" t="s">
        <v>24</v>
      </c>
      <c r="E45" s="100">
        <v>1</v>
      </c>
      <c r="F45" s="54" t="s">
        <v>222</v>
      </c>
      <c r="G45" s="102">
        <v>5675.13</v>
      </c>
      <c r="H45" s="102">
        <v>1392.8</v>
      </c>
      <c r="I45" s="92">
        <v>7067.93</v>
      </c>
      <c r="J45" s="121"/>
    </row>
    <row r="46" spans="1:10" ht="15" customHeight="1" x14ac:dyDescent="0.25">
      <c r="A46" s="104" t="s">
        <v>236</v>
      </c>
      <c r="B46" s="105" t="s">
        <v>4</v>
      </c>
      <c r="C46" s="105"/>
      <c r="D46" s="67" t="s">
        <v>24</v>
      </c>
      <c r="E46" s="76">
        <v>1</v>
      </c>
      <c r="F46" s="104" t="s">
        <v>218</v>
      </c>
      <c r="G46" s="102">
        <v>8075.56</v>
      </c>
      <c r="H46" s="102">
        <v>1392.8</v>
      </c>
      <c r="I46" s="92">
        <f t="shared" ref="I46:I60" si="0">SUM(G46:H46)</f>
        <v>9468.36</v>
      </c>
    </row>
    <row r="47" spans="1:10" ht="15" customHeight="1" x14ac:dyDescent="0.25">
      <c r="A47" s="54" t="s">
        <v>237</v>
      </c>
      <c r="B47" s="105" t="s">
        <v>4</v>
      </c>
      <c r="C47" s="67"/>
      <c r="D47" s="67" t="s">
        <v>24</v>
      </c>
      <c r="E47" s="76">
        <v>1</v>
      </c>
      <c r="F47" s="54" t="s">
        <v>276</v>
      </c>
      <c r="G47" s="102">
        <v>5250.46</v>
      </c>
      <c r="H47" s="102">
        <v>1392.8</v>
      </c>
      <c r="I47" s="92">
        <f t="shared" si="0"/>
        <v>6643.26</v>
      </c>
    </row>
    <row r="48" spans="1:10" ht="15" customHeight="1" x14ac:dyDescent="0.25">
      <c r="A48" s="54" t="s">
        <v>238</v>
      </c>
      <c r="B48" s="105" t="s">
        <v>4</v>
      </c>
      <c r="C48" s="67"/>
      <c r="D48" s="67" t="s">
        <v>24</v>
      </c>
      <c r="E48" s="76">
        <v>1</v>
      </c>
      <c r="F48" s="54" t="s">
        <v>356</v>
      </c>
      <c r="G48" s="102">
        <v>5227.96</v>
      </c>
      <c r="H48" s="102">
        <v>1392.8</v>
      </c>
      <c r="I48" s="92">
        <f t="shared" si="0"/>
        <v>6620.76</v>
      </c>
    </row>
    <row r="49" spans="1:9" ht="15" customHeight="1" x14ac:dyDescent="0.25">
      <c r="A49" s="54" t="s">
        <v>239</v>
      </c>
      <c r="B49" s="105" t="s">
        <v>4</v>
      </c>
      <c r="C49" s="67"/>
      <c r="D49" s="67" t="s">
        <v>24</v>
      </c>
      <c r="E49" s="76">
        <v>1</v>
      </c>
      <c r="F49" s="54" t="s">
        <v>240</v>
      </c>
      <c r="G49" s="102">
        <v>7691</v>
      </c>
      <c r="H49" s="102">
        <v>1392.8</v>
      </c>
      <c r="I49" s="92">
        <f t="shared" si="0"/>
        <v>9083.7999999999993</v>
      </c>
    </row>
    <row r="50" spans="1:9" ht="15" customHeight="1" x14ac:dyDescent="0.25">
      <c r="A50" s="54" t="s">
        <v>241</v>
      </c>
      <c r="B50" s="105" t="s">
        <v>4</v>
      </c>
      <c r="C50" s="67"/>
      <c r="D50" s="67" t="s">
        <v>24</v>
      </c>
      <c r="E50" s="76">
        <v>1</v>
      </c>
      <c r="F50" s="54" t="s">
        <v>109</v>
      </c>
      <c r="G50" s="102">
        <v>8299.11</v>
      </c>
      <c r="H50" s="102">
        <v>1392.8</v>
      </c>
      <c r="I50" s="92">
        <f t="shared" si="0"/>
        <v>9691.91</v>
      </c>
    </row>
    <row r="51" spans="1:9" ht="15" customHeight="1" x14ac:dyDescent="0.25">
      <c r="A51" s="54" t="s">
        <v>242</v>
      </c>
      <c r="B51" s="105" t="s">
        <v>4</v>
      </c>
      <c r="C51" s="67"/>
      <c r="D51" s="67" t="s">
        <v>24</v>
      </c>
      <c r="E51" s="76">
        <v>1</v>
      </c>
      <c r="F51" s="54" t="s">
        <v>277</v>
      </c>
      <c r="G51" s="102">
        <v>4902.3900000000003</v>
      </c>
      <c r="H51" s="102">
        <v>1392.8</v>
      </c>
      <c r="I51" s="92">
        <f t="shared" si="0"/>
        <v>6295.1900000000005</v>
      </c>
    </row>
    <row r="52" spans="1:9" ht="15" customHeight="1" x14ac:dyDescent="0.25">
      <c r="A52" s="54" t="s">
        <v>243</v>
      </c>
      <c r="B52" s="105" t="s">
        <v>4</v>
      </c>
      <c r="C52" s="67"/>
      <c r="D52" s="67" t="s">
        <v>24</v>
      </c>
      <c r="E52" s="76">
        <v>1</v>
      </c>
      <c r="F52" s="54" t="s">
        <v>111</v>
      </c>
      <c r="G52" s="102">
        <v>7691</v>
      </c>
      <c r="H52" s="102">
        <v>1392.8</v>
      </c>
      <c r="I52" s="92">
        <f t="shared" si="0"/>
        <v>9083.7999999999993</v>
      </c>
    </row>
    <row r="53" spans="1:9" ht="15" customHeight="1" x14ac:dyDescent="0.25">
      <c r="A53" s="54" t="s">
        <v>244</v>
      </c>
      <c r="B53" s="105" t="s">
        <v>4</v>
      </c>
      <c r="C53" s="67"/>
      <c r="D53" s="67" t="s">
        <v>24</v>
      </c>
      <c r="E53" s="76">
        <v>1</v>
      </c>
      <c r="F53" s="54" t="s">
        <v>215</v>
      </c>
      <c r="G53" s="102">
        <v>7691</v>
      </c>
      <c r="H53" s="102">
        <v>1392.8</v>
      </c>
      <c r="I53" s="92">
        <f t="shared" si="0"/>
        <v>9083.7999999999993</v>
      </c>
    </row>
    <row r="54" spans="1:9" ht="15" customHeight="1" x14ac:dyDescent="0.25">
      <c r="A54" s="54" t="s">
        <v>245</v>
      </c>
      <c r="B54" s="105" t="s">
        <v>4</v>
      </c>
      <c r="C54" s="67"/>
      <c r="D54" s="67" t="s">
        <v>24</v>
      </c>
      <c r="E54" s="76">
        <v>1</v>
      </c>
      <c r="F54" s="54" t="s">
        <v>216</v>
      </c>
      <c r="G54" s="102">
        <v>8075.56</v>
      </c>
      <c r="H54" s="102">
        <v>1392.8</v>
      </c>
      <c r="I54" s="92">
        <f t="shared" si="0"/>
        <v>9468.36</v>
      </c>
    </row>
    <row r="55" spans="1:9" ht="15" customHeight="1" x14ac:dyDescent="0.25">
      <c r="A55" s="54" t="s">
        <v>246</v>
      </c>
      <c r="B55" s="105" t="s">
        <v>4</v>
      </c>
      <c r="C55" s="67"/>
      <c r="D55" s="67" t="s">
        <v>24</v>
      </c>
      <c r="E55" s="76">
        <v>1</v>
      </c>
      <c r="F55" s="54" t="s">
        <v>112</v>
      </c>
      <c r="G55" s="102">
        <v>8075.56</v>
      </c>
      <c r="H55" s="102">
        <v>1392.8</v>
      </c>
      <c r="I55" s="92">
        <f t="shared" si="0"/>
        <v>9468.36</v>
      </c>
    </row>
    <row r="56" spans="1:9" ht="15" customHeight="1" x14ac:dyDescent="0.25">
      <c r="A56" s="54" t="s">
        <v>247</v>
      </c>
      <c r="B56" s="105" t="s">
        <v>4</v>
      </c>
      <c r="C56" s="67"/>
      <c r="D56" s="67" t="s">
        <v>24</v>
      </c>
      <c r="E56" s="76">
        <v>1</v>
      </c>
      <c r="F56" s="54" t="s">
        <v>219</v>
      </c>
      <c r="G56" s="102">
        <v>7691</v>
      </c>
      <c r="H56" s="102">
        <v>1392.8</v>
      </c>
      <c r="I56" s="92">
        <f t="shared" si="0"/>
        <v>9083.7999999999993</v>
      </c>
    </row>
    <row r="57" spans="1:9" ht="15" customHeight="1" x14ac:dyDescent="0.25">
      <c r="A57" s="54" t="s">
        <v>248</v>
      </c>
      <c r="B57" s="105" t="s">
        <v>4</v>
      </c>
      <c r="C57" s="67"/>
      <c r="D57" s="67" t="s">
        <v>24</v>
      </c>
      <c r="E57" s="76">
        <v>1</v>
      </c>
      <c r="F57" s="54" t="s">
        <v>113</v>
      </c>
      <c r="G57" s="102">
        <v>2295.89</v>
      </c>
      <c r="H57" s="102">
        <v>1392.8</v>
      </c>
      <c r="I57" s="92">
        <f t="shared" si="0"/>
        <v>3688.6899999999996</v>
      </c>
    </row>
    <row r="58" spans="1:9" ht="15" customHeight="1" x14ac:dyDescent="0.25">
      <c r="A58" s="54" t="s">
        <v>249</v>
      </c>
      <c r="B58" s="105" t="s">
        <v>4</v>
      </c>
      <c r="C58" s="67"/>
      <c r="D58" s="67" t="s">
        <v>24</v>
      </c>
      <c r="E58" s="76">
        <v>1</v>
      </c>
      <c r="F58" s="54" t="s">
        <v>114</v>
      </c>
      <c r="G58" s="102">
        <v>5125.45</v>
      </c>
      <c r="H58" s="102">
        <v>1392.8</v>
      </c>
      <c r="I58" s="92">
        <f t="shared" si="0"/>
        <v>6518.25</v>
      </c>
    </row>
    <row r="59" spans="1:9" ht="15" customHeight="1" x14ac:dyDescent="0.25">
      <c r="A59" s="54" t="s">
        <v>250</v>
      </c>
      <c r="B59" s="105" t="s">
        <v>4</v>
      </c>
      <c r="C59" s="67"/>
      <c r="D59" s="67" t="s">
        <v>24</v>
      </c>
      <c r="E59" s="76">
        <v>1</v>
      </c>
      <c r="F59" s="54" t="s">
        <v>337</v>
      </c>
      <c r="G59" s="102">
        <v>5227.96</v>
      </c>
      <c r="H59" s="102">
        <v>1392.8</v>
      </c>
      <c r="I59" s="92">
        <f t="shared" si="0"/>
        <v>6620.76</v>
      </c>
    </row>
    <row r="60" spans="1:9" ht="15" customHeight="1" x14ac:dyDescent="0.25">
      <c r="A60" s="54" t="s">
        <v>252</v>
      </c>
      <c r="B60" s="105" t="s">
        <v>4</v>
      </c>
      <c r="C60" s="67"/>
      <c r="D60" s="67" t="s">
        <v>24</v>
      </c>
      <c r="E60" s="76">
        <v>1</v>
      </c>
      <c r="F60" s="54" t="s">
        <v>115</v>
      </c>
      <c r="G60" s="102">
        <v>5933.35</v>
      </c>
      <c r="H60" s="102">
        <v>1392.8</v>
      </c>
      <c r="I60" s="92">
        <f t="shared" si="0"/>
        <v>7326.1500000000005</v>
      </c>
    </row>
    <row r="61" spans="1:9" ht="23.25" customHeight="1" x14ac:dyDescent="0.25">
      <c r="A61" s="54" t="s">
        <v>253</v>
      </c>
      <c r="B61" s="105" t="s">
        <v>4</v>
      </c>
      <c r="C61" s="67"/>
      <c r="D61" s="67" t="s">
        <v>24</v>
      </c>
      <c r="E61" s="76">
        <v>1</v>
      </c>
      <c r="F61" s="54" t="s">
        <v>372</v>
      </c>
      <c r="G61" s="102" t="s">
        <v>373</v>
      </c>
      <c r="H61" s="102" t="s">
        <v>374</v>
      </c>
      <c r="I61" s="92" t="s">
        <v>375</v>
      </c>
    </row>
    <row r="62" spans="1:9" ht="15" customHeight="1" x14ac:dyDescent="0.25">
      <c r="A62" s="54" t="s">
        <v>254</v>
      </c>
      <c r="B62" s="105" t="s">
        <v>4</v>
      </c>
      <c r="C62" s="67"/>
      <c r="D62" s="67" t="s">
        <v>24</v>
      </c>
      <c r="E62" s="76">
        <v>1</v>
      </c>
      <c r="F62" s="54" t="s">
        <v>116</v>
      </c>
      <c r="G62" s="102">
        <v>5404.89</v>
      </c>
      <c r="H62" s="102">
        <v>1392.8</v>
      </c>
      <c r="I62" s="92">
        <f>SUM(G62:H62)</f>
        <v>6797.6900000000005</v>
      </c>
    </row>
    <row r="63" spans="1:9" ht="15" customHeight="1" x14ac:dyDescent="0.25">
      <c r="A63" s="54" t="s">
        <v>255</v>
      </c>
      <c r="B63" s="105" t="s">
        <v>4</v>
      </c>
      <c r="C63" s="67"/>
      <c r="D63" s="67" t="s">
        <v>24</v>
      </c>
      <c r="E63" s="76">
        <v>1</v>
      </c>
      <c r="F63" s="54" t="s">
        <v>261</v>
      </c>
      <c r="G63" s="102">
        <v>5650.81</v>
      </c>
      <c r="H63" s="102">
        <v>1392.8</v>
      </c>
      <c r="I63" s="92">
        <f>SUM(G63:H63)</f>
        <v>7043.6100000000006</v>
      </c>
    </row>
    <row r="64" spans="1:9" ht="15" customHeight="1" x14ac:dyDescent="0.25">
      <c r="A64" s="54" t="s">
        <v>256</v>
      </c>
      <c r="B64" s="105" t="s">
        <v>4</v>
      </c>
      <c r="C64" s="67"/>
      <c r="D64" s="67" t="s">
        <v>117</v>
      </c>
      <c r="E64" s="76">
        <v>1</v>
      </c>
      <c r="F64" s="54" t="s">
        <v>357</v>
      </c>
      <c r="G64" s="102">
        <v>0</v>
      </c>
      <c r="H64" s="102">
        <v>1392.8</v>
      </c>
      <c r="I64" s="92">
        <f>SUM(G64:H64)</f>
        <v>1392.8</v>
      </c>
    </row>
    <row r="65" spans="1:9" ht="15" customHeight="1" x14ac:dyDescent="0.25">
      <c r="A65" s="54" t="s">
        <v>258</v>
      </c>
      <c r="B65" s="105" t="s">
        <v>4</v>
      </c>
      <c r="C65" s="67"/>
      <c r="D65" s="67" t="s">
        <v>24</v>
      </c>
      <c r="E65" s="76">
        <v>1</v>
      </c>
      <c r="F65" s="54" t="s">
        <v>232</v>
      </c>
      <c r="G65" s="102">
        <v>8075.56</v>
      </c>
      <c r="H65" s="102">
        <v>1392.8</v>
      </c>
      <c r="I65" s="92">
        <f>SUM(G65:H65)</f>
        <v>9468.36</v>
      </c>
    </row>
    <row r="66" spans="1:9" ht="15" customHeight="1" x14ac:dyDescent="0.25">
      <c r="A66" s="54" t="s">
        <v>341</v>
      </c>
      <c r="B66" s="105" t="s">
        <v>4</v>
      </c>
      <c r="C66" s="67"/>
      <c r="D66" s="67" t="s">
        <v>24</v>
      </c>
      <c r="E66" s="76">
        <v>1</v>
      </c>
      <c r="F66" s="54" t="s">
        <v>235</v>
      </c>
      <c r="G66" s="102">
        <v>2531.2199999999998</v>
      </c>
      <c r="H66" s="102">
        <v>1392.8</v>
      </c>
      <c r="I66" s="92">
        <f>SUM(G66:H66)</f>
        <v>3924.0199999999995</v>
      </c>
    </row>
    <row r="67" spans="1:9" ht="21.75" customHeight="1" x14ac:dyDescent="0.25">
      <c r="A67" s="54" t="s">
        <v>259</v>
      </c>
      <c r="B67" s="105" t="s">
        <v>5</v>
      </c>
      <c r="C67" s="67"/>
      <c r="D67" s="67" t="s">
        <v>24</v>
      </c>
      <c r="E67" s="76">
        <v>1</v>
      </c>
      <c r="F67" s="54" t="s">
        <v>334</v>
      </c>
      <c r="G67" s="102" t="s">
        <v>376</v>
      </c>
      <c r="H67" s="102" t="s">
        <v>318</v>
      </c>
      <c r="I67" s="92" t="s">
        <v>303</v>
      </c>
    </row>
    <row r="68" spans="1:9" ht="15" customHeight="1" x14ac:dyDescent="0.25">
      <c r="A68" s="54" t="s">
        <v>259</v>
      </c>
      <c r="B68" s="105" t="s">
        <v>5</v>
      </c>
      <c r="C68" s="67"/>
      <c r="D68" s="67" t="s">
        <v>24</v>
      </c>
      <c r="E68" s="76">
        <v>1</v>
      </c>
      <c r="F68" s="104" t="s">
        <v>264</v>
      </c>
      <c r="G68" s="102">
        <v>5404.89</v>
      </c>
      <c r="H68" s="102">
        <v>849.76</v>
      </c>
      <c r="I68" s="92">
        <v>6254.65</v>
      </c>
    </row>
    <row r="69" spans="1:9" ht="15" customHeight="1" x14ac:dyDescent="0.25">
      <c r="A69" s="54" t="s">
        <v>259</v>
      </c>
      <c r="B69" s="105" t="s">
        <v>5</v>
      </c>
      <c r="C69" s="67"/>
      <c r="D69" s="67" t="s">
        <v>24</v>
      </c>
      <c r="E69" s="76">
        <v>1</v>
      </c>
      <c r="F69" s="54" t="s">
        <v>217</v>
      </c>
      <c r="G69" s="102">
        <v>5675.13</v>
      </c>
      <c r="H69" s="102">
        <v>849.76</v>
      </c>
      <c r="I69" s="92">
        <f t="shared" ref="I69:I81" si="1">SUM(G69:H69)</f>
        <v>6524.89</v>
      </c>
    </row>
    <row r="70" spans="1:9" ht="15" customHeight="1" x14ac:dyDescent="0.25">
      <c r="A70" s="54" t="s">
        <v>260</v>
      </c>
      <c r="B70" s="105" t="s">
        <v>6</v>
      </c>
      <c r="C70" s="67"/>
      <c r="D70" s="67" t="s">
        <v>117</v>
      </c>
      <c r="E70" s="76">
        <v>1</v>
      </c>
      <c r="F70" s="113" t="s">
        <v>358</v>
      </c>
      <c r="G70" s="102">
        <v>0</v>
      </c>
      <c r="H70" s="102">
        <v>505.81</v>
      </c>
      <c r="I70" s="92">
        <f t="shared" si="1"/>
        <v>505.81</v>
      </c>
    </row>
    <row r="71" spans="1:9" ht="15" customHeight="1" x14ac:dyDescent="0.25">
      <c r="A71" s="54" t="s">
        <v>260</v>
      </c>
      <c r="B71" s="105" t="s">
        <v>6</v>
      </c>
      <c r="C71" s="67"/>
      <c r="D71" s="67" t="s">
        <v>24</v>
      </c>
      <c r="E71" s="76">
        <v>1</v>
      </c>
      <c r="F71" s="54" t="s">
        <v>233</v>
      </c>
      <c r="G71" s="102">
        <v>5046.58</v>
      </c>
      <c r="H71" s="102">
        <v>505.81</v>
      </c>
      <c r="I71" s="92">
        <f t="shared" si="1"/>
        <v>5552.39</v>
      </c>
    </row>
    <row r="72" spans="1:9" ht="15" customHeight="1" x14ac:dyDescent="0.25">
      <c r="A72" s="54" t="s">
        <v>260</v>
      </c>
      <c r="B72" s="105" t="s">
        <v>6</v>
      </c>
      <c r="C72" s="67"/>
      <c r="D72" s="67" t="s">
        <v>117</v>
      </c>
      <c r="E72" s="76">
        <v>1</v>
      </c>
      <c r="F72" s="54" t="s">
        <v>359</v>
      </c>
      <c r="G72" s="102">
        <v>0</v>
      </c>
      <c r="H72" s="102">
        <v>505.81</v>
      </c>
      <c r="I72" s="92">
        <f t="shared" si="1"/>
        <v>505.81</v>
      </c>
    </row>
    <row r="73" spans="1:9" ht="15" customHeight="1" x14ac:dyDescent="0.25">
      <c r="A73" s="54" t="s">
        <v>260</v>
      </c>
      <c r="B73" s="105" t="s">
        <v>6</v>
      </c>
      <c r="C73" s="105"/>
      <c r="D73" s="67" t="s">
        <v>117</v>
      </c>
      <c r="E73" s="76">
        <v>1</v>
      </c>
      <c r="F73" s="88" t="s">
        <v>391</v>
      </c>
      <c r="G73" s="102">
        <v>0</v>
      </c>
      <c r="H73" s="102">
        <v>151.74</v>
      </c>
      <c r="I73" s="92">
        <f t="shared" si="1"/>
        <v>151.74</v>
      </c>
    </row>
    <row r="74" spans="1:9" ht="15" customHeight="1" x14ac:dyDescent="0.25">
      <c r="A74" s="54" t="s">
        <v>260</v>
      </c>
      <c r="B74" s="105" t="s">
        <v>6</v>
      </c>
      <c r="C74" s="105"/>
      <c r="D74" s="67" t="s">
        <v>24</v>
      </c>
      <c r="E74" s="76">
        <v>1</v>
      </c>
      <c r="F74" s="88" t="s">
        <v>304</v>
      </c>
      <c r="G74" s="102">
        <v>5763.82</v>
      </c>
      <c r="H74" s="102">
        <v>505.81</v>
      </c>
      <c r="I74" s="92">
        <f t="shared" si="1"/>
        <v>6269.63</v>
      </c>
    </row>
    <row r="75" spans="1:9" ht="15" customHeight="1" x14ac:dyDescent="0.25">
      <c r="A75" s="104" t="s">
        <v>262</v>
      </c>
      <c r="B75" s="105" t="s">
        <v>7</v>
      </c>
      <c r="C75" s="105"/>
      <c r="D75" s="67" t="s">
        <v>24</v>
      </c>
      <c r="E75" s="76">
        <v>1</v>
      </c>
      <c r="F75" s="104" t="s">
        <v>229</v>
      </c>
      <c r="G75" s="102">
        <v>7691</v>
      </c>
      <c r="H75" s="102">
        <v>465.35</v>
      </c>
      <c r="I75" s="92">
        <f t="shared" si="1"/>
        <v>8156.35</v>
      </c>
    </row>
    <row r="76" spans="1:9" ht="15" customHeight="1" x14ac:dyDescent="0.25">
      <c r="A76" s="104" t="s">
        <v>262</v>
      </c>
      <c r="B76" s="105" t="s">
        <v>7</v>
      </c>
      <c r="C76" s="105"/>
      <c r="D76" s="67" t="s">
        <v>117</v>
      </c>
      <c r="E76" s="76">
        <v>1</v>
      </c>
      <c r="F76" s="104" t="s">
        <v>361</v>
      </c>
      <c r="G76" s="102">
        <v>0</v>
      </c>
      <c r="H76" s="102">
        <v>465.35</v>
      </c>
      <c r="I76" s="92">
        <f t="shared" si="1"/>
        <v>465.35</v>
      </c>
    </row>
    <row r="77" spans="1:9" ht="15" customHeight="1" x14ac:dyDescent="0.25">
      <c r="A77" s="104" t="s">
        <v>262</v>
      </c>
      <c r="B77" s="105" t="s">
        <v>7</v>
      </c>
      <c r="C77" s="105"/>
      <c r="D77" s="67"/>
      <c r="E77" s="76">
        <v>1</v>
      </c>
      <c r="F77" s="106" t="s">
        <v>346</v>
      </c>
      <c r="G77" s="102">
        <v>0</v>
      </c>
      <c r="H77" s="102">
        <v>0</v>
      </c>
      <c r="I77" s="92">
        <f t="shared" si="1"/>
        <v>0</v>
      </c>
    </row>
    <row r="78" spans="1:9" ht="15" customHeight="1" x14ac:dyDescent="0.25">
      <c r="A78" s="104" t="s">
        <v>262</v>
      </c>
      <c r="B78" s="105" t="s">
        <v>7</v>
      </c>
      <c r="C78" s="105"/>
      <c r="D78" s="67" t="s">
        <v>117</v>
      </c>
      <c r="E78" s="76">
        <v>1</v>
      </c>
      <c r="F78" s="104" t="s">
        <v>362</v>
      </c>
      <c r="G78" s="102">
        <v>0</v>
      </c>
      <c r="H78" s="102">
        <v>465.35</v>
      </c>
      <c r="I78" s="92">
        <f t="shared" si="1"/>
        <v>465.35</v>
      </c>
    </row>
    <row r="79" spans="1:9" ht="15" customHeight="1" x14ac:dyDescent="0.25">
      <c r="A79" s="104" t="s">
        <v>262</v>
      </c>
      <c r="B79" s="105" t="s">
        <v>7</v>
      </c>
      <c r="C79" s="105"/>
      <c r="D79" s="67" t="s">
        <v>24</v>
      </c>
      <c r="E79" s="76">
        <v>1</v>
      </c>
      <c r="F79" s="104" t="s">
        <v>305</v>
      </c>
      <c r="G79" s="102">
        <v>5563.85</v>
      </c>
      <c r="H79" s="102">
        <v>465.35</v>
      </c>
      <c r="I79" s="92">
        <f t="shared" si="1"/>
        <v>6029.2000000000007</v>
      </c>
    </row>
    <row r="80" spans="1:9" ht="15" customHeight="1" x14ac:dyDescent="0.25">
      <c r="A80" s="104" t="s">
        <v>262</v>
      </c>
      <c r="B80" s="105" t="s">
        <v>7</v>
      </c>
      <c r="C80" s="105"/>
      <c r="D80" s="67" t="s">
        <v>24</v>
      </c>
      <c r="E80" s="76">
        <v>1</v>
      </c>
      <c r="F80" s="104" t="s">
        <v>273</v>
      </c>
      <c r="G80" s="102">
        <v>4440.25</v>
      </c>
      <c r="H80" s="102">
        <v>465.35</v>
      </c>
      <c r="I80" s="92">
        <f t="shared" si="1"/>
        <v>4905.6000000000004</v>
      </c>
    </row>
    <row r="81" spans="1:9" ht="15" customHeight="1" x14ac:dyDescent="0.25">
      <c r="A81" s="104" t="s">
        <v>262</v>
      </c>
      <c r="B81" s="105" t="s">
        <v>7</v>
      </c>
      <c r="C81" s="105"/>
      <c r="D81" s="67" t="s">
        <v>117</v>
      </c>
      <c r="E81" s="76">
        <v>1</v>
      </c>
      <c r="F81" s="104" t="s">
        <v>363</v>
      </c>
      <c r="G81" s="102">
        <v>0</v>
      </c>
      <c r="H81" s="102">
        <v>465.35</v>
      </c>
      <c r="I81" s="92">
        <f t="shared" si="1"/>
        <v>465.35</v>
      </c>
    </row>
    <row r="82" spans="1:9" ht="66.95" customHeight="1" x14ac:dyDescent="0.25">
      <c r="A82" s="72" t="s">
        <v>120</v>
      </c>
      <c r="B82" s="72" t="s">
        <v>121</v>
      </c>
      <c r="C82" s="73" t="s">
        <v>122</v>
      </c>
      <c r="D82" s="73" t="s">
        <v>123</v>
      </c>
      <c r="E82" s="73" t="s">
        <v>124</v>
      </c>
      <c r="F82" s="90"/>
      <c r="G82" s="73" t="s">
        <v>125</v>
      </c>
      <c r="H82" s="73" t="s">
        <v>126</v>
      </c>
      <c r="I82" s="73" t="s">
        <v>127</v>
      </c>
    </row>
    <row r="83" spans="1:9" ht="33.75" x14ac:dyDescent="0.25">
      <c r="A83" s="75" t="s">
        <v>128</v>
      </c>
      <c r="B83" s="91" t="s">
        <v>4</v>
      </c>
      <c r="C83" s="77">
        <v>23</v>
      </c>
      <c r="D83" s="77">
        <v>0</v>
      </c>
      <c r="E83" s="77">
        <v>23</v>
      </c>
      <c r="F83" s="78" t="s">
        <v>377</v>
      </c>
      <c r="G83" s="92">
        <v>140775.10999999999</v>
      </c>
      <c r="H83" s="92">
        <v>33627.199999999997</v>
      </c>
      <c r="I83" s="92">
        <v>174502.31</v>
      </c>
    </row>
    <row r="84" spans="1:9" ht="33.75" x14ac:dyDescent="0.25">
      <c r="A84" s="75" t="s">
        <v>129</v>
      </c>
      <c r="B84" s="91" t="s">
        <v>130</v>
      </c>
      <c r="C84" s="77">
        <f>SUMIFS($E$49:$E$84,$B$49:$B$84,"FGS-2",$D$49:$D$84,"&lt;&gt;VAGO")</f>
        <v>3</v>
      </c>
      <c r="D84" s="77">
        <f>SUMIFS($E$49:$E$84,$B$49:$B$84,"FGS-2",$D$49:$D$84,"VAGO")</f>
        <v>0</v>
      </c>
      <c r="E84" s="77">
        <f>C84+D84</f>
        <v>3</v>
      </c>
      <c r="F84" s="61" t="s">
        <v>331</v>
      </c>
      <c r="G84" s="92">
        <v>25123.200000000001</v>
      </c>
      <c r="H84" s="92">
        <v>3399.04</v>
      </c>
      <c r="I84" s="92">
        <v>28522.240000000002</v>
      </c>
    </row>
    <row r="85" spans="1:9" x14ac:dyDescent="0.25">
      <c r="A85" s="75" t="s">
        <v>131</v>
      </c>
      <c r="B85" s="91" t="s">
        <v>132</v>
      </c>
      <c r="C85" s="77">
        <f>SUMIFS($E$49:$E$84,$B$49:$B$84,"FGS-3",$D$49:$D$84,"&lt;&gt;VAGO")</f>
        <v>0</v>
      </c>
      <c r="D85" s="77">
        <f>SUMIFS($E$49:$E$84,$B$49:$B$84,"FGS-3",$D$49:$D$84,"VAGO")</f>
        <v>0</v>
      </c>
      <c r="E85" s="77">
        <f>C85+D85</f>
        <v>0</v>
      </c>
      <c r="F85" s="61"/>
      <c r="G85" s="92">
        <f>SUMIF($B$49:$B$84,"FGS-3",$G$49:$G$84)</f>
        <v>0</v>
      </c>
      <c r="H85" s="92">
        <f>SUMIF($B$49:$B$84,"FGS-3",$G$49:$G$84)</f>
        <v>0</v>
      </c>
      <c r="I85" s="92">
        <f>SUMIF($B$49:$B$84,"FGS-3",$G$49:$G$84)</f>
        <v>0</v>
      </c>
    </row>
    <row r="86" spans="1:9" x14ac:dyDescent="0.25">
      <c r="A86" s="81" t="s">
        <v>133</v>
      </c>
      <c r="B86" s="107" t="s">
        <v>134</v>
      </c>
      <c r="C86" s="77">
        <v>5</v>
      </c>
      <c r="D86" s="77">
        <v>0</v>
      </c>
      <c r="E86" s="77">
        <f>C86+D86</f>
        <v>5</v>
      </c>
      <c r="F86" s="82"/>
      <c r="G86" s="92">
        <v>10810.4</v>
      </c>
      <c r="H86" s="92">
        <v>2174.88</v>
      </c>
      <c r="I86" s="92">
        <v>12985.28</v>
      </c>
    </row>
    <row r="87" spans="1:9" x14ac:dyDescent="0.25">
      <c r="A87" s="75" t="s">
        <v>135</v>
      </c>
      <c r="B87" s="91" t="s">
        <v>7</v>
      </c>
      <c r="C87" s="77">
        <v>6</v>
      </c>
      <c r="D87" s="77">
        <v>1</v>
      </c>
      <c r="E87" s="77">
        <v>7</v>
      </c>
      <c r="F87" s="82"/>
      <c r="G87" s="92">
        <v>17695.099999999999</v>
      </c>
      <c r="H87" s="92">
        <v>2792.1</v>
      </c>
      <c r="I87" s="92">
        <v>20487.2</v>
      </c>
    </row>
    <row r="88" spans="1:9" x14ac:dyDescent="0.25">
      <c r="A88" s="75" t="s">
        <v>136</v>
      </c>
      <c r="B88" s="91" t="s">
        <v>137</v>
      </c>
      <c r="C88" s="77">
        <f>SUMIFS($E$49:$E$84,$B$49:$B$84,"FGA-3",$D$49:$D$84,"&lt;&gt;VAGO")</f>
        <v>0</v>
      </c>
      <c r="D88" s="77">
        <f>SUMIFS($E$49:$E$84,$B$49:$B$84,"FGA-3",$D$49:$D$84,"VAGO")</f>
        <v>0</v>
      </c>
      <c r="E88" s="77">
        <f>C88+D88</f>
        <v>0</v>
      </c>
      <c r="F88" s="61"/>
      <c r="G88" s="92">
        <f>SUMIF($B$49:$B$84,"FGA-3",$G$49:$G$84)</f>
        <v>0</v>
      </c>
      <c r="H88" s="92">
        <f>SUMIF($B$49:$B$84,"FGA-3",$G$49:$G$84)</f>
        <v>0</v>
      </c>
      <c r="I88" s="92">
        <f>SUMIF($B$49:$B$84,"FGA-3",$G$49:$G$84)</f>
        <v>0</v>
      </c>
    </row>
    <row r="89" spans="1:9" ht="22.5" x14ac:dyDescent="0.25">
      <c r="A89" s="72" t="s">
        <v>138</v>
      </c>
      <c r="B89" s="90"/>
      <c r="C89" s="73">
        <f>SUM(C83:C88)</f>
        <v>37</v>
      </c>
      <c r="D89" s="73">
        <f>SUM(D83:D88)</f>
        <v>1</v>
      </c>
      <c r="E89" s="73">
        <f>SUM(E83:E88)</f>
        <v>38</v>
      </c>
      <c r="F89" s="90"/>
      <c r="G89" s="93">
        <v>193987.42</v>
      </c>
      <c r="H89" s="93">
        <f>SUM(H83:H88)</f>
        <v>41993.219999999994</v>
      </c>
      <c r="I89" s="93">
        <v>235980.64</v>
      </c>
    </row>
    <row r="90" spans="1:9" x14ac:dyDescent="0.25">
      <c r="A90" s="85"/>
      <c r="B90" s="85"/>
      <c r="C90" s="85"/>
      <c r="D90" s="85"/>
      <c r="E90" s="85"/>
      <c r="F90" s="85"/>
      <c r="G90" s="85"/>
      <c r="H90" s="85"/>
      <c r="I90" s="108"/>
    </row>
    <row r="91" spans="1:9" ht="45" x14ac:dyDescent="0.25">
      <c r="A91" s="72"/>
      <c r="B91" s="72"/>
      <c r="C91" s="73" t="s">
        <v>139</v>
      </c>
      <c r="D91" s="73" t="s">
        <v>140</v>
      </c>
      <c r="E91" s="73" t="s">
        <v>141</v>
      </c>
      <c r="F91" s="83"/>
      <c r="G91" s="73" t="s">
        <v>142</v>
      </c>
      <c r="H91" s="73" t="s">
        <v>143</v>
      </c>
      <c r="I91" s="73" t="s">
        <v>144</v>
      </c>
    </row>
    <row r="92" spans="1:9" ht="22.5" x14ac:dyDescent="0.25">
      <c r="A92" s="72" t="s">
        <v>145</v>
      </c>
      <c r="B92" s="83"/>
      <c r="C92" s="73">
        <v>48</v>
      </c>
      <c r="D92" s="73">
        <v>1</v>
      </c>
      <c r="E92" s="73">
        <v>49</v>
      </c>
      <c r="F92" s="83"/>
      <c r="G92" s="93">
        <f>SUM(H26+G40+G89)</f>
        <v>237550.05000000002</v>
      </c>
      <c r="H92" s="93">
        <f>SUM(I26+H40+H89)</f>
        <v>87831.93</v>
      </c>
      <c r="I92" s="93">
        <v>325381.98</v>
      </c>
    </row>
    <row r="93" spans="1:9" x14ac:dyDescent="0.25">
      <c r="A93" s="118"/>
      <c r="B93" s="118"/>
      <c r="C93" s="118"/>
      <c r="D93" s="118"/>
      <c r="E93" s="118"/>
      <c r="F93" s="118"/>
      <c r="G93" s="118"/>
      <c r="H93" s="118"/>
      <c r="I93" s="120"/>
    </row>
    <row r="94" spans="1:9" x14ac:dyDescent="0.25">
      <c r="A94" s="172" t="s">
        <v>146</v>
      </c>
      <c r="B94" s="173"/>
      <c r="C94" s="173"/>
      <c r="D94" s="173"/>
      <c r="E94" s="173"/>
      <c r="F94" s="174"/>
      <c r="G94" s="119"/>
      <c r="H94" s="118"/>
      <c r="I94" s="118"/>
    </row>
    <row r="95" spans="1:9" x14ac:dyDescent="0.25">
      <c r="A95" s="131" t="s">
        <v>147</v>
      </c>
      <c r="B95" s="152"/>
      <c r="C95" s="152"/>
      <c r="D95" s="152"/>
      <c r="E95" s="152"/>
      <c r="F95" s="153"/>
      <c r="G95" s="119"/>
      <c r="H95" s="118"/>
      <c r="I95" s="118"/>
    </row>
    <row r="96" spans="1:9" x14ac:dyDescent="0.25">
      <c r="A96" s="131" t="s">
        <v>148</v>
      </c>
      <c r="B96" s="152"/>
      <c r="C96" s="152"/>
      <c r="D96" s="152"/>
      <c r="E96" s="152"/>
      <c r="F96" s="153"/>
      <c r="G96" s="119"/>
      <c r="H96" s="118"/>
      <c r="I96" s="118"/>
    </row>
    <row r="97" spans="1:9" x14ac:dyDescent="0.25">
      <c r="A97" s="124" t="s">
        <v>149</v>
      </c>
      <c r="B97" s="164"/>
      <c r="C97" s="164"/>
      <c r="D97" s="164"/>
      <c r="E97" s="164"/>
      <c r="F97" s="165"/>
      <c r="G97" s="119"/>
      <c r="H97" s="118"/>
      <c r="I97" s="118"/>
    </row>
    <row r="98" spans="1:9" x14ac:dyDescent="0.25">
      <c r="A98" s="124" t="s">
        <v>150</v>
      </c>
      <c r="B98" s="164"/>
      <c r="C98" s="164"/>
      <c r="D98" s="164"/>
      <c r="E98" s="164"/>
      <c r="F98" s="165"/>
      <c r="G98" s="119"/>
      <c r="H98" s="118"/>
      <c r="I98" s="118"/>
    </row>
    <row r="99" spans="1:9" x14ac:dyDescent="0.25">
      <c r="A99" s="124" t="s">
        <v>151</v>
      </c>
      <c r="B99" s="164"/>
      <c r="C99" s="164"/>
      <c r="D99" s="164"/>
      <c r="E99" s="164"/>
      <c r="F99" s="165"/>
      <c r="G99" s="119"/>
      <c r="H99" s="118"/>
      <c r="I99" s="118"/>
    </row>
    <row r="100" spans="1:9" x14ac:dyDescent="0.25">
      <c r="A100" s="196" t="s">
        <v>378</v>
      </c>
      <c r="B100" s="197"/>
      <c r="C100" s="197"/>
      <c r="D100" s="197"/>
      <c r="E100" s="197"/>
      <c r="F100" s="198"/>
      <c r="G100" s="119"/>
      <c r="H100" s="118"/>
      <c r="I100" s="118"/>
    </row>
    <row r="101" spans="1:9" x14ac:dyDescent="0.25">
      <c r="A101" s="124" t="s">
        <v>234</v>
      </c>
      <c r="B101" s="164"/>
      <c r="C101" s="164"/>
      <c r="D101" s="164"/>
      <c r="E101" s="164"/>
      <c r="F101" s="165"/>
      <c r="G101" s="119"/>
      <c r="H101" s="118"/>
      <c r="I101" s="118"/>
    </row>
    <row r="102" spans="1:9" x14ac:dyDescent="0.25">
      <c r="A102" s="124" t="s">
        <v>265</v>
      </c>
      <c r="B102" s="164"/>
      <c r="C102" s="164"/>
      <c r="D102" s="164"/>
      <c r="E102" s="164"/>
      <c r="F102" s="165"/>
      <c r="G102" s="119"/>
      <c r="H102" s="118"/>
      <c r="I102" s="118"/>
    </row>
    <row r="103" spans="1:9" x14ac:dyDescent="0.25">
      <c r="A103" s="199" t="s">
        <v>379</v>
      </c>
      <c r="B103" s="200"/>
      <c r="C103" s="200"/>
      <c r="D103" s="200"/>
      <c r="E103" s="200"/>
      <c r="F103" s="201"/>
      <c r="G103" s="119"/>
      <c r="H103" s="118"/>
      <c r="I103" s="118"/>
    </row>
    <row r="104" spans="1:9" ht="22.5" customHeight="1" x14ac:dyDescent="0.25">
      <c r="A104" s="199" t="s">
        <v>390</v>
      </c>
      <c r="B104" s="200"/>
      <c r="C104" s="200"/>
      <c r="D104" s="200"/>
      <c r="E104" s="200"/>
      <c r="F104" s="201"/>
      <c r="G104" s="119"/>
      <c r="H104" s="118"/>
      <c r="I104" s="118"/>
    </row>
    <row r="105" spans="1:9" x14ac:dyDescent="0.25">
      <c r="A105" s="178"/>
      <c r="B105" s="179"/>
      <c r="C105" s="179"/>
      <c r="D105" s="179"/>
      <c r="E105" s="179"/>
      <c r="F105" s="180"/>
      <c r="G105" s="119"/>
      <c r="H105" s="118"/>
      <c r="I105" s="118"/>
    </row>
    <row r="106" spans="1:9" x14ac:dyDescent="0.25">
      <c r="A106" s="181"/>
      <c r="B106" s="182"/>
      <c r="C106" s="182"/>
      <c r="D106" s="182"/>
      <c r="E106" s="182"/>
      <c r="F106" s="183"/>
      <c r="G106" s="119"/>
      <c r="H106" s="118"/>
      <c r="I106" s="118"/>
    </row>
    <row r="107" spans="1:9" x14ac:dyDescent="0.25">
      <c r="A107" s="184"/>
      <c r="B107" s="185"/>
      <c r="C107" s="185"/>
      <c r="D107" s="185"/>
      <c r="E107" s="185"/>
      <c r="F107" s="186"/>
      <c r="G107" s="119"/>
      <c r="H107" s="118"/>
      <c r="I107" s="118"/>
    </row>
    <row r="108" spans="1:9" x14ac:dyDescent="0.25">
      <c r="A108" s="187" t="s">
        <v>152</v>
      </c>
      <c r="B108" s="188"/>
      <c r="C108" s="188"/>
      <c r="D108" s="188"/>
      <c r="E108" s="188"/>
      <c r="F108" s="189"/>
      <c r="G108" s="119"/>
      <c r="H108" s="118"/>
      <c r="I108" s="118"/>
    </row>
    <row r="109" spans="1:9" x14ac:dyDescent="0.25">
      <c r="A109" s="190" t="s">
        <v>153</v>
      </c>
      <c r="B109" s="191"/>
      <c r="C109" s="191"/>
      <c r="D109" s="191"/>
      <c r="E109" s="191"/>
      <c r="F109" s="192"/>
      <c r="G109" s="119"/>
      <c r="H109" s="118"/>
      <c r="I109" s="118"/>
    </row>
    <row r="110" spans="1:9" x14ac:dyDescent="0.25">
      <c r="A110" s="175" t="s">
        <v>154</v>
      </c>
      <c r="B110" s="176"/>
      <c r="C110" s="176"/>
      <c r="D110" s="176"/>
      <c r="E110" s="176"/>
      <c r="F110" s="177"/>
      <c r="G110" s="119"/>
      <c r="H110" s="118"/>
      <c r="I110" s="118"/>
    </row>
    <row r="111" spans="1:9" x14ac:dyDescent="0.25">
      <c r="A111" s="175" t="s">
        <v>155</v>
      </c>
      <c r="B111" s="176"/>
      <c r="C111" s="176"/>
      <c r="D111" s="176"/>
      <c r="E111" s="176"/>
      <c r="F111" s="177"/>
      <c r="G111" s="119"/>
      <c r="H111" s="118"/>
      <c r="I111" s="118"/>
    </row>
    <row r="112" spans="1:9" ht="25.5" customHeight="1" x14ac:dyDescent="0.25">
      <c r="A112" s="175" t="s">
        <v>156</v>
      </c>
      <c r="B112" s="176"/>
      <c r="C112" s="176"/>
      <c r="D112" s="176"/>
      <c r="E112" s="176"/>
      <c r="F112" s="177"/>
      <c r="G112" s="119"/>
      <c r="H112" s="118"/>
      <c r="I112" s="118"/>
    </row>
    <row r="113" spans="1:9" x14ac:dyDescent="0.25">
      <c r="A113" s="175" t="s">
        <v>157</v>
      </c>
      <c r="B113" s="176"/>
      <c r="C113" s="176"/>
      <c r="D113" s="176"/>
      <c r="E113" s="176"/>
      <c r="F113" s="177"/>
      <c r="G113" s="119"/>
      <c r="H113" s="118"/>
      <c r="I113" s="118"/>
    </row>
    <row r="114" spans="1:9" x14ac:dyDescent="0.25">
      <c r="A114" s="175" t="s">
        <v>158</v>
      </c>
      <c r="B114" s="176"/>
      <c r="C114" s="176"/>
      <c r="D114" s="176"/>
      <c r="E114" s="176"/>
      <c r="F114" s="177"/>
      <c r="G114" s="119"/>
      <c r="H114" s="118"/>
      <c r="I114" s="118"/>
    </row>
    <row r="115" spans="1:9" x14ac:dyDescent="0.25">
      <c r="A115" s="175" t="s">
        <v>159</v>
      </c>
      <c r="B115" s="176"/>
      <c r="C115" s="176"/>
      <c r="D115" s="176"/>
      <c r="E115" s="176"/>
      <c r="F115" s="177"/>
      <c r="G115" s="119"/>
      <c r="H115" s="118"/>
      <c r="I115" s="118"/>
    </row>
    <row r="116" spans="1:9" x14ac:dyDescent="0.25">
      <c r="A116" s="175" t="s">
        <v>160</v>
      </c>
      <c r="B116" s="176"/>
      <c r="C116" s="176"/>
      <c r="D116" s="176"/>
      <c r="E116" s="176"/>
      <c r="F116" s="177"/>
      <c r="G116" s="119"/>
      <c r="H116" s="118"/>
      <c r="I116" s="118"/>
    </row>
    <row r="117" spans="1:9" x14ac:dyDescent="0.25">
      <c r="A117" s="175" t="s">
        <v>161</v>
      </c>
      <c r="B117" s="176"/>
      <c r="C117" s="176"/>
      <c r="D117" s="176"/>
      <c r="E117" s="176"/>
      <c r="F117" s="177"/>
      <c r="G117" s="119"/>
      <c r="H117" s="118"/>
      <c r="I117" s="118"/>
    </row>
    <row r="118" spans="1:9" x14ac:dyDescent="0.25">
      <c r="A118" s="175" t="s">
        <v>162</v>
      </c>
      <c r="B118" s="176"/>
      <c r="C118" s="176"/>
      <c r="D118" s="176"/>
      <c r="E118" s="176"/>
      <c r="F118" s="177"/>
      <c r="G118" s="119"/>
      <c r="H118" s="118"/>
      <c r="I118" s="118"/>
    </row>
    <row r="119" spans="1:9" x14ac:dyDescent="0.25">
      <c r="A119" s="175" t="s">
        <v>163</v>
      </c>
      <c r="B119" s="176"/>
      <c r="C119" s="176"/>
      <c r="D119" s="176"/>
      <c r="E119" s="176"/>
      <c r="F119" s="177"/>
      <c r="G119" s="119"/>
      <c r="H119" s="118"/>
      <c r="I119" s="118"/>
    </row>
    <row r="120" spans="1:9" x14ac:dyDescent="0.25">
      <c r="A120" s="175" t="s">
        <v>164</v>
      </c>
      <c r="B120" s="176"/>
      <c r="C120" s="176"/>
      <c r="D120" s="176"/>
      <c r="E120" s="176"/>
      <c r="F120" s="177"/>
      <c r="G120" s="119"/>
      <c r="H120" s="118"/>
      <c r="I120" s="118"/>
    </row>
    <row r="121" spans="1:9" x14ac:dyDescent="0.25">
      <c r="A121" s="175" t="s">
        <v>165</v>
      </c>
      <c r="B121" s="176"/>
      <c r="C121" s="176"/>
      <c r="D121" s="176"/>
      <c r="E121" s="176"/>
      <c r="F121" s="177"/>
      <c r="G121" s="119"/>
      <c r="H121" s="118"/>
      <c r="I121" s="118"/>
    </row>
    <row r="122" spans="1:9" x14ac:dyDescent="0.25">
      <c r="A122" s="175" t="s">
        <v>166</v>
      </c>
      <c r="B122" s="176"/>
      <c r="C122" s="176"/>
      <c r="D122" s="176"/>
      <c r="E122" s="176"/>
      <c r="F122" s="177"/>
      <c r="G122" s="119"/>
      <c r="H122" s="118"/>
      <c r="I122" s="118"/>
    </row>
    <row r="123" spans="1:9" x14ac:dyDescent="0.25">
      <c r="A123" s="175" t="s">
        <v>167</v>
      </c>
      <c r="B123" s="176"/>
      <c r="C123" s="176"/>
      <c r="D123" s="176"/>
      <c r="E123" s="176"/>
      <c r="F123" s="177"/>
      <c r="G123" s="119"/>
      <c r="H123" s="118"/>
      <c r="I123" s="118"/>
    </row>
    <row r="124" spans="1:9" x14ac:dyDescent="0.25">
      <c r="A124" s="175" t="s">
        <v>168</v>
      </c>
      <c r="B124" s="176"/>
      <c r="C124" s="176"/>
      <c r="D124" s="176"/>
      <c r="E124" s="176"/>
      <c r="F124" s="177"/>
      <c r="G124" s="119"/>
      <c r="H124" s="118"/>
      <c r="I124" s="118"/>
    </row>
    <row r="125" spans="1:9" x14ac:dyDescent="0.25">
      <c r="A125" s="175" t="s">
        <v>169</v>
      </c>
      <c r="B125" s="176"/>
      <c r="C125" s="176"/>
      <c r="D125" s="176"/>
      <c r="E125" s="176"/>
      <c r="F125" s="177"/>
      <c r="G125" s="119"/>
      <c r="H125" s="118"/>
      <c r="I125" s="118"/>
    </row>
    <row r="126" spans="1:9" x14ac:dyDescent="0.25">
      <c r="A126" s="175" t="s">
        <v>170</v>
      </c>
      <c r="B126" s="176"/>
      <c r="C126" s="176"/>
      <c r="D126" s="176"/>
      <c r="E126" s="176"/>
      <c r="F126" s="177"/>
      <c r="G126" s="119"/>
      <c r="H126" s="118"/>
      <c r="I126" s="118"/>
    </row>
    <row r="127" spans="1:9" x14ac:dyDescent="0.25">
      <c r="A127" s="175" t="s">
        <v>171</v>
      </c>
      <c r="B127" s="176"/>
      <c r="C127" s="176"/>
      <c r="D127" s="176"/>
      <c r="E127" s="176"/>
      <c r="F127" s="177"/>
      <c r="G127" s="119"/>
      <c r="H127" s="118"/>
      <c r="I127" s="118"/>
    </row>
    <row r="128" spans="1:9" x14ac:dyDescent="0.25">
      <c r="A128" s="175" t="s">
        <v>172</v>
      </c>
      <c r="B128" s="176"/>
      <c r="C128" s="176"/>
      <c r="D128" s="176"/>
      <c r="E128" s="176"/>
      <c r="F128" s="177"/>
      <c r="G128" s="119"/>
      <c r="H128" s="118"/>
      <c r="I128" s="118"/>
    </row>
    <row r="129" spans="1:9" x14ac:dyDescent="0.25">
      <c r="A129" s="175" t="s">
        <v>173</v>
      </c>
      <c r="B129" s="176"/>
      <c r="C129" s="176"/>
      <c r="D129" s="176"/>
      <c r="E129" s="176"/>
      <c r="F129" s="177"/>
      <c r="G129" s="119"/>
      <c r="H129" s="118"/>
      <c r="I129" s="118"/>
    </row>
    <row r="130" spans="1:9" x14ac:dyDescent="0.25">
      <c r="A130" s="175" t="s">
        <v>174</v>
      </c>
      <c r="B130" s="176"/>
      <c r="C130" s="176"/>
      <c r="D130" s="176"/>
      <c r="E130" s="176"/>
      <c r="F130" s="177"/>
      <c r="G130" s="119"/>
      <c r="H130" s="118"/>
      <c r="I130" s="118"/>
    </row>
    <row r="131" spans="1:9" x14ac:dyDescent="0.25">
      <c r="A131" s="175" t="s">
        <v>175</v>
      </c>
      <c r="B131" s="176"/>
      <c r="C131" s="176"/>
      <c r="D131" s="176"/>
      <c r="E131" s="176"/>
      <c r="F131" s="177"/>
      <c r="G131" s="119"/>
      <c r="H131" s="118"/>
      <c r="I131" s="118"/>
    </row>
    <row r="132" spans="1:9" x14ac:dyDescent="0.25">
      <c r="A132" s="175" t="s">
        <v>176</v>
      </c>
      <c r="B132" s="176"/>
      <c r="C132" s="176"/>
      <c r="D132" s="176"/>
      <c r="E132" s="176"/>
      <c r="F132" s="177"/>
      <c r="G132" s="119"/>
      <c r="H132" s="118"/>
      <c r="I132" s="118"/>
    </row>
    <row r="133" spans="1:9" x14ac:dyDescent="0.25">
      <c r="A133" s="175" t="s">
        <v>177</v>
      </c>
      <c r="B133" s="176"/>
      <c r="C133" s="176"/>
      <c r="D133" s="176"/>
      <c r="E133" s="176"/>
      <c r="F133" s="177"/>
      <c r="G133" s="119"/>
      <c r="H133" s="118"/>
      <c r="I133" s="118"/>
    </row>
    <row r="134" spans="1:9" x14ac:dyDescent="0.25">
      <c r="A134" s="175" t="s">
        <v>178</v>
      </c>
      <c r="B134" s="176"/>
      <c r="C134" s="176"/>
      <c r="D134" s="176"/>
      <c r="E134" s="176"/>
      <c r="F134" s="177"/>
      <c r="G134" s="119"/>
      <c r="H134" s="118"/>
      <c r="I134" s="118"/>
    </row>
    <row r="135" spans="1:9" x14ac:dyDescent="0.25">
      <c r="A135" s="175" t="s">
        <v>179</v>
      </c>
      <c r="B135" s="176"/>
      <c r="C135" s="176"/>
      <c r="D135" s="176"/>
      <c r="E135" s="176"/>
      <c r="F135" s="177"/>
      <c r="G135" s="119"/>
      <c r="H135" s="118"/>
      <c r="I135" s="118"/>
    </row>
    <row r="136" spans="1:9" x14ac:dyDescent="0.25">
      <c r="A136" s="175" t="s">
        <v>180</v>
      </c>
      <c r="B136" s="176"/>
      <c r="C136" s="176"/>
      <c r="D136" s="176"/>
      <c r="E136" s="176"/>
      <c r="F136" s="177"/>
      <c r="G136" s="119"/>
      <c r="H136" s="118"/>
      <c r="I136" s="118"/>
    </row>
    <row r="137" spans="1:9" x14ac:dyDescent="0.25">
      <c r="A137" s="175" t="s">
        <v>181</v>
      </c>
      <c r="B137" s="176"/>
      <c r="C137" s="176"/>
      <c r="D137" s="176"/>
      <c r="E137" s="176"/>
      <c r="F137" s="177"/>
      <c r="G137" s="119"/>
      <c r="H137" s="118"/>
      <c r="I137" s="118"/>
    </row>
    <row r="138" spans="1:9" x14ac:dyDescent="0.25">
      <c r="A138" s="175" t="s">
        <v>182</v>
      </c>
      <c r="B138" s="176"/>
      <c r="C138" s="176"/>
      <c r="D138" s="176"/>
      <c r="E138" s="176"/>
      <c r="F138" s="177"/>
      <c r="G138" s="119"/>
      <c r="H138" s="118"/>
      <c r="I138" s="118"/>
    </row>
    <row r="139" spans="1:9" x14ac:dyDescent="0.25">
      <c r="A139" s="175" t="s">
        <v>183</v>
      </c>
      <c r="B139" s="176"/>
      <c r="C139" s="176"/>
      <c r="D139" s="176"/>
      <c r="E139" s="176"/>
      <c r="F139" s="177"/>
      <c r="G139" s="119"/>
      <c r="H139" s="118"/>
      <c r="I139" s="118"/>
    </row>
    <row r="140" spans="1:9" x14ac:dyDescent="0.25">
      <c r="A140" s="175" t="s">
        <v>184</v>
      </c>
      <c r="B140" s="176"/>
      <c r="C140" s="176"/>
      <c r="D140" s="176"/>
      <c r="E140" s="176"/>
      <c r="F140" s="177"/>
      <c r="G140" s="119"/>
      <c r="H140" s="118"/>
      <c r="I140" s="118"/>
    </row>
    <row r="141" spans="1:9" x14ac:dyDescent="0.25">
      <c r="A141" s="175" t="s">
        <v>185</v>
      </c>
      <c r="B141" s="176"/>
      <c r="C141" s="176"/>
      <c r="D141" s="176"/>
      <c r="E141" s="176"/>
      <c r="F141" s="177"/>
      <c r="G141" s="119"/>
      <c r="H141" s="118"/>
      <c r="I141" s="118"/>
    </row>
    <row r="142" spans="1:9" x14ac:dyDescent="0.25">
      <c r="A142" s="175" t="s">
        <v>186</v>
      </c>
      <c r="B142" s="176"/>
      <c r="C142" s="176"/>
      <c r="D142" s="176"/>
      <c r="E142" s="176"/>
      <c r="F142" s="177"/>
      <c r="G142" s="119"/>
      <c r="H142" s="118"/>
      <c r="I142" s="118"/>
    </row>
    <row r="143" spans="1:9" x14ac:dyDescent="0.25">
      <c r="A143" s="175" t="s">
        <v>187</v>
      </c>
      <c r="B143" s="176"/>
      <c r="C143" s="176"/>
      <c r="D143" s="176"/>
      <c r="E143" s="176"/>
      <c r="F143" s="177"/>
      <c r="G143" s="119"/>
      <c r="H143" s="118"/>
      <c r="I143" s="118"/>
    </row>
    <row r="144" spans="1:9" x14ac:dyDescent="0.25">
      <c r="A144" s="175" t="s">
        <v>188</v>
      </c>
      <c r="B144" s="176"/>
      <c r="C144" s="176"/>
      <c r="D144" s="176"/>
      <c r="E144" s="176"/>
      <c r="F144" s="177"/>
      <c r="G144" s="119"/>
      <c r="H144" s="118"/>
      <c r="I144" s="118"/>
    </row>
    <row r="145" spans="1:9" x14ac:dyDescent="0.25">
      <c r="A145" s="175" t="s">
        <v>189</v>
      </c>
      <c r="B145" s="176"/>
      <c r="C145" s="176"/>
      <c r="D145" s="176"/>
      <c r="E145" s="176"/>
      <c r="F145" s="177"/>
      <c r="G145" s="119"/>
      <c r="H145" s="118"/>
      <c r="I145" s="118"/>
    </row>
    <row r="146" spans="1:9" x14ac:dyDescent="0.25">
      <c r="A146" s="175" t="s">
        <v>190</v>
      </c>
      <c r="B146" s="176"/>
      <c r="C146" s="176"/>
      <c r="D146" s="176"/>
      <c r="E146" s="176"/>
      <c r="F146" s="177"/>
      <c r="G146" s="119"/>
      <c r="H146" s="118"/>
      <c r="I146" s="118"/>
    </row>
    <row r="147" spans="1:9" x14ac:dyDescent="0.25">
      <c r="A147" s="175" t="s">
        <v>191</v>
      </c>
      <c r="B147" s="176"/>
      <c r="C147" s="176"/>
      <c r="D147" s="176"/>
      <c r="E147" s="176"/>
      <c r="F147" s="177"/>
      <c r="G147" s="119"/>
      <c r="H147" s="118"/>
      <c r="I147" s="118"/>
    </row>
    <row r="148" spans="1:9" x14ac:dyDescent="0.25">
      <c r="A148" s="175" t="s">
        <v>192</v>
      </c>
      <c r="B148" s="176"/>
      <c r="C148" s="176"/>
      <c r="D148" s="176"/>
      <c r="E148" s="176"/>
      <c r="F148" s="177"/>
      <c r="G148" s="119"/>
      <c r="H148" s="118"/>
      <c r="I148" s="118"/>
    </row>
    <row r="149" spans="1:9" x14ac:dyDescent="0.25">
      <c r="A149" s="175" t="s">
        <v>193</v>
      </c>
      <c r="B149" s="176"/>
      <c r="C149" s="176"/>
      <c r="D149" s="176"/>
      <c r="E149" s="176"/>
      <c r="F149" s="177"/>
      <c r="G149" s="119"/>
      <c r="H149" s="118"/>
      <c r="I149" s="118"/>
    </row>
    <row r="150" spans="1:9" x14ac:dyDescent="0.25">
      <c r="A150" s="175" t="s">
        <v>194</v>
      </c>
      <c r="B150" s="176"/>
      <c r="C150" s="176"/>
      <c r="D150" s="176"/>
      <c r="E150" s="176"/>
      <c r="F150" s="177"/>
      <c r="G150" s="117"/>
      <c r="H150" s="117"/>
      <c r="I150" s="117"/>
    </row>
    <row r="151" spans="1:9" x14ac:dyDescent="0.25">
      <c r="A151" s="175" t="s">
        <v>195</v>
      </c>
      <c r="B151" s="176"/>
      <c r="C151" s="176"/>
      <c r="D151" s="176"/>
      <c r="E151" s="176"/>
      <c r="F151" s="177"/>
      <c r="G151" s="117"/>
      <c r="H151" s="117"/>
      <c r="I151" s="117"/>
    </row>
    <row r="152" spans="1:9" x14ac:dyDescent="0.25">
      <c r="A152" s="175" t="s">
        <v>196</v>
      </c>
      <c r="B152" s="176"/>
      <c r="C152" s="176"/>
      <c r="D152" s="176"/>
      <c r="E152" s="176"/>
      <c r="F152" s="177"/>
      <c r="G152" s="117"/>
      <c r="H152" s="117"/>
      <c r="I152" s="117"/>
    </row>
    <row r="153" spans="1:9" x14ac:dyDescent="0.25">
      <c r="A153" s="175" t="s">
        <v>197</v>
      </c>
      <c r="B153" s="176"/>
      <c r="C153" s="176"/>
      <c r="D153" s="176"/>
      <c r="E153" s="176"/>
      <c r="F153" s="177"/>
      <c r="G153" s="117"/>
      <c r="H153" s="117"/>
      <c r="I153" s="117"/>
    </row>
    <row r="154" spans="1:9" x14ac:dyDescent="0.25">
      <c r="A154" s="175" t="s">
        <v>198</v>
      </c>
      <c r="B154" s="176"/>
      <c r="C154" s="176"/>
      <c r="D154" s="176"/>
      <c r="E154" s="176"/>
      <c r="F154" s="177"/>
      <c r="G154" s="117"/>
      <c r="H154" s="117"/>
      <c r="I154" s="117"/>
    </row>
    <row r="155" spans="1:9" x14ac:dyDescent="0.25">
      <c r="A155" s="175" t="s">
        <v>199</v>
      </c>
      <c r="B155" s="176"/>
      <c r="C155" s="176"/>
      <c r="D155" s="176"/>
      <c r="E155" s="176"/>
      <c r="F155" s="177"/>
      <c r="G155" s="117"/>
      <c r="H155" s="117"/>
      <c r="I155" s="117"/>
    </row>
    <row r="156" spans="1:9" x14ac:dyDescent="0.25">
      <c r="A156" s="175" t="s">
        <v>200</v>
      </c>
      <c r="B156" s="176"/>
      <c r="C156" s="176"/>
      <c r="D156" s="176"/>
      <c r="E156" s="176"/>
      <c r="F156" s="177"/>
      <c r="G156" s="117"/>
      <c r="H156" s="117"/>
      <c r="I156" s="117"/>
    </row>
    <row r="157" spans="1:9" x14ac:dyDescent="0.25">
      <c r="A157" s="175" t="s">
        <v>201</v>
      </c>
      <c r="B157" s="176"/>
      <c r="C157" s="176"/>
      <c r="D157" s="176"/>
      <c r="E157" s="176"/>
      <c r="F157" s="177"/>
      <c r="G157" s="117"/>
      <c r="H157" s="117"/>
      <c r="I157" s="117"/>
    </row>
    <row r="158" spans="1:9" x14ac:dyDescent="0.25">
      <c r="A158" s="175" t="s">
        <v>202</v>
      </c>
      <c r="B158" s="176"/>
      <c r="C158" s="176"/>
      <c r="D158" s="176"/>
      <c r="E158" s="176"/>
      <c r="F158" s="177"/>
      <c r="G158" s="117"/>
      <c r="H158" s="117"/>
      <c r="I158" s="117"/>
    </row>
    <row r="159" spans="1:9" x14ac:dyDescent="0.25">
      <c r="A159" s="175" t="s">
        <v>203</v>
      </c>
      <c r="B159" s="176"/>
      <c r="C159" s="176"/>
      <c r="D159" s="176"/>
      <c r="E159" s="176"/>
      <c r="F159" s="177"/>
      <c r="G159" s="117"/>
      <c r="H159" s="117"/>
      <c r="I159" s="117"/>
    </row>
    <row r="160" spans="1:9" x14ac:dyDescent="0.25">
      <c r="A160" s="175" t="s">
        <v>204</v>
      </c>
      <c r="B160" s="176"/>
      <c r="C160" s="176"/>
      <c r="D160" s="176"/>
      <c r="E160" s="176"/>
      <c r="F160" s="177"/>
      <c r="G160" s="117"/>
      <c r="H160" s="117"/>
      <c r="I160" s="117"/>
    </row>
    <row r="161" spans="1:9" x14ac:dyDescent="0.25">
      <c r="A161" s="175" t="s">
        <v>205</v>
      </c>
      <c r="B161" s="176"/>
      <c r="C161" s="176"/>
      <c r="D161" s="176"/>
      <c r="E161" s="176"/>
      <c r="F161" s="177"/>
      <c r="G161" s="117"/>
      <c r="H161" s="117"/>
      <c r="I161" s="117"/>
    </row>
    <row r="162" spans="1:9" x14ac:dyDescent="0.25">
      <c r="A162" s="175" t="s">
        <v>206</v>
      </c>
      <c r="B162" s="176"/>
      <c r="C162" s="176"/>
      <c r="D162" s="176"/>
      <c r="E162" s="176"/>
      <c r="F162" s="177"/>
      <c r="G162" s="117"/>
      <c r="H162" s="117"/>
      <c r="I162" s="117"/>
    </row>
    <row r="163" spans="1:9" x14ac:dyDescent="0.25">
      <c r="A163" s="175" t="s">
        <v>207</v>
      </c>
      <c r="B163" s="176"/>
      <c r="C163" s="176"/>
      <c r="D163" s="176"/>
      <c r="E163" s="176"/>
      <c r="F163" s="177"/>
      <c r="G163" s="117"/>
      <c r="H163" s="117"/>
      <c r="I163" s="117"/>
    </row>
    <row r="164" spans="1:9" x14ac:dyDescent="0.25">
      <c r="A164" s="175" t="s">
        <v>208</v>
      </c>
      <c r="B164" s="176"/>
      <c r="C164" s="176"/>
      <c r="D164" s="176"/>
      <c r="E164" s="176"/>
      <c r="F164" s="177"/>
      <c r="G164" s="117"/>
      <c r="H164" s="117"/>
      <c r="I164" s="117"/>
    </row>
    <row r="165" spans="1:9" x14ac:dyDescent="0.25">
      <c r="A165" s="175" t="s">
        <v>209</v>
      </c>
      <c r="B165" s="176"/>
      <c r="C165" s="176"/>
      <c r="D165" s="176"/>
      <c r="E165" s="176"/>
      <c r="F165" s="177"/>
      <c r="G165" s="117"/>
      <c r="H165" s="117"/>
      <c r="I165" s="117"/>
    </row>
    <row r="166" spans="1:9" x14ac:dyDescent="0.25">
      <c r="A166" s="175" t="s">
        <v>210</v>
      </c>
      <c r="B166" s="176"/>
      <c r="C166" s="176"/>
      <c r="D166" s="176"/>
      <c r="E166" s="176"/>
      <c r="F166" s="177"/>
      <c r="G166" s="117"/>
      <c r="H166" s="117"/>
      <c r="I166" s="117"/>
    </row>
    <row r="167" spans="1:9" x14ac:dyDescent="0.25">
      <c r="A167" s="175" t="s">
        <v>211</v>
      </c>
      <c r="B167" s="176"/>
      <c r="C167" s="176"/>
      <c r="D167" s="176"/>
      <c r="E167" s="176"/>
      <c r="F167" s="177"/>
      <c r="G167" s="117"/>
      <c r="H167" s="117"/>
      <c r="I167" s="117"/>
    </row>
    <row r="168" spans="1:9" x14ac:dyDescent="0.25">
      <c r="A168" s="175" t="s">
        <v>212</v>
      </c>
      <c r="B168" s="176"/>
      <c r="C168" s="176"/>
      <c r="D168" s="176"/>
      <c r="E168" s="176"/>
      <c r="F168" s="177"/>
      <c r="G168" s="117"/>
      <c r="H168" s="117"/>
      <c r="I168" s="117"/>
    </row>
    <row r="169" spans="1:9" x14ac:dyDescent="0.25">
      <c r="A169" s="175" t="s">
        <v>213</v>
      </c>
      <c r="B169" s="176"/>
      <c r="C169" s="176"/>
      <c r="D169" s="176"/>
      <c r="E169" s="176"/>
      <c r="F169" s="177"/>
      <c r="G169" s="117"/>
      <c r="H169" s="117"/>
      <c r="I169" s="117"/>
    </row>
    <row r="170" spans="1:9" x14ac:dyDescent="0.25">
      <c r="A170" s="109"/>
      <c r="B170" s="110"/>
      <c r="C170" s="110"/>
      <c r="D170" s="110"/>
      <c r="E170" s="110"/>
      <c r="F170" s="110"/>
      <c r="G170" s="117"/>
      <c r="H170" s="117"/>
      <c r="I170" s="117"/>
    </row>
    <row r="171" spans="1:9" ht="23.25" customHeight="1" x14ac:dyDescent="0.25">
      <c r="A171" s="206" t="s">
        <v>389</v>
      </c>
      <c r="B171" s="206"/>
      <c r="C171" s="206"/>
      <c r="D171" s="206"/>
      <c r="E171" s="206"/>
      <c r="F171" s="206"/>
      <c r="G171" s="117"/>
      <c r="H171" s="117"/>
      <c r="I171" s="117"/>
    </row>
    <row r="172" spans="1:9" x14ac:dyDescent="0.25">
      <c r="A172" s="206" t="s">
        <v>388</v>
      </c>
      <c r="B172" s="206"/>
      <c r="C172" s="206"/>
      <c r="D172" s="206"/>
      <c r="E172" s="206"/>
      <c r="F172" s="206"/>
      <c r="G172" s="117"/>
      <c r="H172" s="117"/>
      <c r="I172" s="117"/>
    </row>
    <row r="173" spans="1:9" x14ac:dyDescent="0.25">
      <c r="A173" s="116" t="s">
        <v>387</v>
      </c>
      <c r="B173" s="56"/>
      <c r="C173" s="56"/>
      <c r="D173" s="56"/>
      <c r="E173" s="56"/>
      <c r="F173" s="56"/>
    </row>
    <row r="174" spans="1:9" x14ac:dyDescent="0.25">
      <c r="A174" s="56"/>
      <c r="B174" s="56"/>
      <c r="C174" s="56"/>
      <c r="D174" s="56"/>
      <c r="E174" s="56"/>
      <c r="F174" s="56"/>
    </row>
    <row r="175" spans="1:9" x14ac:dyDescent="0.25">
      <c r="A175" s="56" t="s">
        <v>386</v>
      </c>
      <c r="B175" s="56"/>
      <c r="C175" s="56"/>
      <c r="D175" s="56"/>
      <c r="E175" s="56"/>
      <c r="F175" s="56"/>
    </row>
    <row r="176" spans="1:9" x14ac:dyDescent="0.25">
      <c r="A176" s="56"/>
      <c r="B176" s="56"/>
      <c r="C176" s="56"/>
      <c r="D176" s="56"/>
      <c r="E176" s="56"/>
      <c r="F176" s="56"/>
    </row>
    <row r="177" spans="1:6" x14ac:dyDescent="0.25">
      <c r="A177" s="56"/>
      <c r="B177" s="56"/>
      <c r="C177" s="56"/>
      <c r="D177" s="56"/>
      <c r="E177" s="56"/>
      <c r="F177" s="56"/>
    </row>
    <row r="178" spans="1:6" x14ac:dyDescent="0.25">
      <c r="A178" s="56"/>
      <c r="B178" s="56"/>
      <c r="C178" s="56"/>
      <c r="D178" s="56"/>
      <c r="E178" s="56"/>
      <c r="F178" s="56"/>
    </row>
    <row r="179" spans="1:6" x14ac:dyDescent="0.25">
      <c r="A179" s="111" t="s">
        <v>385</v>
      </c>
      <c r="B179" s="56"/>
      <c r="C179" s="56"/>
      <c r="D179" s="56"/>
      <c r="E179" s="56"/>
      <c r="F179" s="56"/>
    </row>
    <row r="180" spans="1:6" x14ac:dyDescent="0.25">
      <c r="A180" s="112" t="s">
        <v>10</v>
      </c>
      <c r="B180" s="56"/>
      <c r="C180" s="56"/>
      <c r="D180" s="56"/>
      <c r="E180" s="56"/>
      <c r="F180" s="56"/>
    </row>
    <row r="181" spans="1:6" x14ac:dyDescent="0.25">
      <c r="A181" s="111" t="s">
        <v>235</v>
      </c>
      <c r="B181" s="56"/>
      <c r="C181" s="56"/>
      <c r="D181" s="56"/>
      <c r="E181" s="56"/>
      <c r="F181" s="56"/>
    </row>
    <row r="182" spans="1:6" x14ac:dyDescent="0.25">
      <c r="A182" s="56"/>
      <c r="B182" s="56"/>
      <c r="C182" s="56"/>
      <c r="D182" s="56"/>
      <c r="E182" s="56"/>
      <c r="F182" s="56"/>
    </row>
  </sheetData>
  <mergeCells count="84">
    <mergeCell ref="A168:F168"/>
    <mergeCell ref="A169:F169"/>
    <mergeCell ref="A171:F171"/>
    <mergeCell ref="A172:F172"/>
    <mergeCell ref="A162:F162"/>
    <mergeCell ref="A163:F163"/>
    <mergeCell ref="A164:F164"/>
    <mergeCell ref="A165:F165"/>
    <mergeCell ref="A166:F166"/>
    <mergeCell ref="A167:F167"/>
    <mergeCell ref="A161:F161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49:F149"/>
    <mergeCell ref="A138:F138"/>
    <mergeCell ref="A139:F139"/>
    <mergeCell ref="A140:F140"/>
    <mergeCell ref="A141:F141"/>
    <mergeCell ref="A142:F142"/>
    <mergeCell ref="A143:F143"/>
    <mergeCell ref="A144:F144"/>
    <mergeCell ref="A126:F126"/>
    <mergeCell ref="A127:F127"/>
    <mergeCell ref="A128:F128"/>
    <mergeCell ref="A129:F129"/>
    <mergeCell ref="A130:F130"/>
    <mergeCell ref="A136:F136"/>
    <mergeCell ref="A145:F145"/>
    <mergeCell ref="A146:F146"/>
    <mergeCell ref="A147:F147"/>
    <mergeCell ref="A148:F148"/>
    <mergeCell ref="A137:F137"/>
    <mergeCell ref="A131:F131"/>
    <mergeCell ref="A132:F132"/>
    <mergeCell ref="A133:F133"/>
    <mergeCell ref="A134:F134"/>
    <mergeCell ref="A135:F135"/>
    <mergeCell ref="A125:F125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13:F113"/>
    <mergeCell ref="A102:F102"/>
    <mergeCell ref="A103:F103"/>
    <mergeCell ref="A104:F104"/>
    <mergeCell ref="A105:F105"/>
    <mergeCell ref="A106:F106"/>
    <mergeCell ref="A107:F107"/>
    <mergeCell ref="A108:F108"/>
    <mergeCell ref="A111:F111"/>
    <mergeCell ref="A112:F112"/>
    <mergeCell ref="A101:F101"/>
    <mergeCell ref="B3:J3"/>
    <mergeCell ref="A4:J4"/>
    <mergeCell ref="A28:I28"/>
    <mergeCell ref="A42:I42"/>
    <mergeCell ref="A94:F94"/>
    <mergeCell ref="A98:F98"/>
    <mergeCell ref="A99:F99"/>
    <mergeCell ref="A100:F100"/>
    <mergeCell ref="A109:F109"/>
    <mergeCell ref="A110:F110"/>
    <mergeCell ref="A1:J1"/>
    <mergeCell ref="A2:J2"/>
    <mergeCell ref="A95:F95"/>
    <mergeCell ref="A96:F96"/>
    <mergeCell ref="A97:F97"/>
  </mergeCells>
  <dataValidations count="4">
    <dataValidation type="list" allowBlank="1" sqref="D44:D81 D30:D33 D6:D13" xr:uid="{00000000-0002-0000-1A00-000003000000}">
      <formula1>"AGP,CLH,CLT,COM,CTD,CTI,DES,DISP,ELE,ESG,EST,EXM,EXQ,EXR,FRQ,REV,VAGO"</formula1>
    </dataValidation>
    <dataValidation type="list" allowBlank="1" sqref="B44:B81" xr:uid="{00000000-0002-0000-1A00-000002000000}">
      <formula1>"FGS-1,FGS-2,FGS-3,FGA-1,FGA-2,FGA-3"</formula1>
    </dataValidation>
    <dataValidation type="list" allowBlank="1" sqref="B30:B33" xr:uid="{00000000-0002-0000-1A00-000001000000}">
      <formula1>"FDA,FDA-1,FDA-2,FDA-3,FDA-4"</formula1>
    </dataValidation>
    <dataValidation type="list" allowBlank="1" sqref="B6:B13" xr:uid="{00000000-0002-0000-1A00-000000000000}">
      <formula1>"DAS,DAS-1,DAS-2,DAS-3,DAS-4,DAS-5,CAA-1,CAA-2,CAA-3,CAA-4,CAA-5"</formula1>
    </dataValidation>
  </dataValidations>
  <pageMargins left="0.28000000000000003" right="0.36" top="0.6" bottom="0.45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D48E-34B7-485E-89DB-310019FA9576}">
  <dimension ref="A1:AA182"/>
  <sheetViews>
    <sheetView tabSelected="1" workbookViewId="0">
      <selection activeCell="A9" sqref="A9"/>
    </sheetView>
  </sheetViews>
  <sheetFormatPr defaultRowHeight="15" x14ac:dyDescent="0.25"/>
  <cols>
    <col min="1" max="1" width="57.42578125" style="115" customWidth="1"/>
    <col min="2" max="2" width="11.28515625" style="115" customWidth="1"/>
    <col min="3" max="3" width="17.42578125" style="115" customWidth="1"/>
    <col min="4" max="4" width="12.5703125" style="115" customWidth="1"/>
    <col min="5" max="5" width="11.28515625" style="115" customWidth="1"/>
    <col min="6" max="6" width="44.28515625" style="115" customWidth="1"/>
    <col min="7" max="7" width="10.85546875" style="115" customWidth="1"/>
    <col min="8" max="8" width="13.140625" style="115" customWidth="1"/>
    <col min="9" max="9" width="13.5703125" style="115" customWidth="1"/>
    <col min="10" max="10" width="13.85546875" style="115" customWidth="1"/>
    <col min="11" max="11" width="41.85546875" style="115" customWidth="1"/>
  </cols>
  <sheetData>
    <row r="1" spans="1:27" ht="21" x14ac:dyDescent="0.35">
      <c r="A1" s="194" t="s">
        <v>368</v>
      </c>
      <c r="B1" s="195"/>
      <c r="C1" s="195"/>
      <c r="D1" s="195"/>
      <c r="E1" s="195"/>
      <c r="F1" s="195"/>
      <c r="G1" s="195"/>
      <c r="H1" s="195"/>
      <c r="I1" s="195"/>
      <c r="J1" s="19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s="115" customFormat="1" ht="21.75" customHeight="1" x14ac:dyDescent="0.25">
      <c r="A3" s="123" t="s">
        <v>396</v>
      </c>
      <c r="B3" s="202" t="s">
        <v>11</v>
      </c>
      <c r="C3" s="125"/>
      <c r="D3" s="125"/>
      <c r="E3" s="125"/>
      <c r="F3" s="125"/>
      <c r="G3" s="125"/>
      <c r="H3" s="125"/>
      <c r="I3" s="125"/>
      <c r="J3" s="126"/>
    </row>
    <row r="4" spans="1:27" s="115" customFormat="1" x14ac:dyDescent="0.25">
      <c r="A4" s="203" t="s">
        <v>12</v>
      </c>
      <c r="B4" s="204"/>
      <c r="C4" s="204"/>
      <c r="D4" s="204"/>
      <c r="E4" s="204"/>
      <c r="F4" s="204"/>
      <c r="G4" s="204"/>
      <c r="H4" s="204"/>
      <c r="I4" s="204"/>
      <c r="J4" s="205"/>
    </row>
    <row r="5" spans="1:27" s="115" customFormat="1" ht="22.5" x14ac:dyDescent="0.25">
      <c r="A5" s="63" t="s">
        <v>13</v>
      </c>
      <c r="B5" s="64" t="s">
        <v>14</v>
      </c>
      <c r="C5" s="64" t="s">
        <v>15</v>
      </c>
      <c r="D5" s="64" t="s">
        <v>16</v>
      </c>
      <c r="E5" s="64" t="s">
        <v>17</v>
      </c>
      <c r="F5" s="63" t="s">
        <v>18</v>
      </c>
      <c r="G5" s="64" t="s">
        <v>19</v>
      </c>
      <c r="H5" s="64" t="s">
        <v>20</v>
      </c>
      <c r="I5" s="64" t="s">
        <v>21</v>
      </c>
      <c r="J5" s="64" t="s">
        <v>281</v>
      </c>
    </row>
    <row r="6" spans="1:27" s="115" customFormat="1" x14ac:dyDescent="0.25">
      <c r="A6" s="65" t="s">
        <v>282</v>
      </c>
      <c r="B6" s="66" t="s">
        <v>0</v>
      </c>
      <c r="C6" s="67" t="s">
        <v>338</v>
      </c>
      <c r="D6" s="67" t="s">
        <v>24</v>
      </c>
      <c r="E6" s="68">
        <v>1</v>
      </c>
      <c r="F6" s="69" t="s">
        <v>284</v>
      </c>
      <c r="G6" s="70">
        <v>0</v>
      </c>
      <c r="H6" s="70">
        <v>8479.33</v>
      </c>
      <c r="I6" s="70">
        <v>9360</v>
      </c>
      <c r="J6" s="71">
        <v>17839.330000000002</v>
      </c>
    </row>
    <row r="7" spans="1:27" s="115" customFormat="1" x14ac:dyDescent="0.25">
      <c r="A7" s="65" t="s">
        <v>285</v>
      </c>
      <c r="B7" s="66" t="s">
        <v>2</v>
      </c>
      <c r="C7" s="67" t="s">
        <v>27</v>
      </c>
      <c r="D7" s="67" t="s">
        <v>28</v>
      </c>
      <c r="E7" s="68">
        <v>1</v>
      </c>
      <c r="F7" s="69" t="s">
        <v>370</v>
      </c>
      <c r="G7" s="70">
        <v>0</v>
      </c>
      <c r="H7" s="70">
        <v>1079.06</v>
      </c>
      <c r="I7" s="70">
        <v>4316.21</v>
      </c>
      <c r="J7" s="71">
        <v>5395.27</v>
      </c>
    </row>
    <row r="8" spans="1:27" s="115" customFormat="1" x14ac:dyDescent="0.25">
      <c r="A8" s="65" t="s">
        <v>38</v>
      </c>
      <c r="B8" s="67" t="s">
        <v>2</v>
      </c>
      <c r="C8" s="67" t="s">
        <v>39</v>
      </c>
      <c r="D8" s="67" t="s">
        <v>28</v>
      </c>
      <c r="E8" s="68">
        <v>1</v>
      </c>
      <c r="F8" s="69" t="s">
        <v>339</v>
      </c>
      <c r="G8" s="70">
        <v>0</v>
      </c>
      <c r="H8" s="70">
        <v>1079.06</v>
      </c>
      <c r="I8" s="70">
        <v>4316.21</v>
      </c>
      <c r="J8" s="71">
        <v>5395.27</v>
      </c>
    </row>
    <row r="9" spans="1:27" s="115" customFormat="1" x14ac:dyDescent="0.25">
      <c r="A9" s="65" t="s">
        <v>288</v>
      </c>
      <c r="B9" s="66" t="s">
        <v>9</v>
      </c>
      <c r="C9" s="67" t="s">
        <v>37</v>
      </c>
      <c r="D9" s="67" t="s">
        <v>28</v>
      </c>
      <c r="E9" s="68">
        <v>1</v>
      </c>
      <c r="F9" s="69" t="s">
        <v>394</v>
      </c>
      <c r="G9" s="70">
        <v>0</v>
      </c>
      <c r="H9" s="70">
        <v>500.99</v>
      </c>
      <c r="I9" s="70">
        <v>2003.96</v>
      </c>
      <c r="J9" s="71">
        <v>2504.9499999999998</v>
      </c>
    </row>
    <row r="10" spans="1:27" s="115" customFormat="1" x14ac:dyDescent="0.25">
      <c r="A10" s="65" t="s">
        <v>290</v>
      </c>
      <c r="B10" s="66" t="s">
        <v>8</v>
      </c>
      <c r="C10" s="67" t="s">
        <v>35</v>
      </c>
      <c r="D10" s="67" t="s">
        <v>28</v>
      </c>
      <c r="E10" s="68">
        <v>1</v>
      </c>
      <c r="F10" s="69" t="s">
        <v>311</v>
      </c>
      <c r="G10" s="70">
        <v>0</v>
      </c>
      <c r="H10" s="70">
        <v>700.75</v>
      </c>
      <c r="I10" s="70">
        <v>3083.01</v>
      </c>
      <c r="J10" s="71">
        <v>3783.76</v>
      </c>
    </row>
    <row r="11" spans="1:27" s="115" customFormat="1" x14ac:dyDescent="0.25">
      <c r="A11" s="65" t="s">
        <v>268</v>
      </c>
      <c r="B11" s="66" t="s">
        <v>8</v>
      </c>
      <c r="C11" s="67" t="s">
        <v>30</v>
      </c>
      <c r="D11" s="67" t="s">
        <v>28</v>
      </c>
      <c r="E11" s="68">
        <v>1</v>
      </c>
      <c r="F11" s="69" t="s">
        <v>312</v>
      </c>
      <c r="G11" s="70">
        <v>0</v>
      </c>
      <c r="H11" s="70">
        <v>700.75</v>
      </c>
      <c r="I11" s="70">
        <v>3083.01</v>
      </c>
      <c r="J11" s="71">
        <v>3783.76</v>
      </c>
    </row>
    <row r="12" spans="1:27" s="115" customFormat="1" x14ac:dyDescent="0.25">
      <c r="A12" s="65" t="s">
        <v>393</v>
      </c>
      <c r="B12" s="66" t="s">
        <v>8</v>
      </c>
      <c r="C12" s="67" t="s">
        <v>33</v>
      </c>
      <c r="D12" s="67" t="s">
        <v>28</v>
      </c>
      <c r="E12" s="68">
        <v>1</v>
      </c>
      <c r="F12" s="69" t="s">
        <v>313</v>
      </c>
      <c r="G12" s="70">
        <v>0</v>
      </c>
      <c r="H12" s="70">
        <v>700.75</v>
      </c>
      <c r="I12" s="70">
        <v>3083.01</v>
      </c>
      <c r="J12" s="71">
        <v>3783.76</v>
      </c>
    </row>
    <row r="13" spans="1:27" s="115" customFormat="1" x14ac:dyDescent="0.25">
      <c r="A13" s="65" t="s">
        <v>31</v>
      </c>
      <c r="B13" s="66" t="s">
        <v>32</v>
      </c>
      <c r="C13" s="67"/>
      <c r="D13" s="67" t="s">
        <v>28</v>
      </c>
      <c r="E13" s="68">
        <v>1</v>
      </c>
      <c r="F13" s="122" t="s">
        <v>392</v>
      </c>
      <c r="G13" s="70">
        <v>0</v>
      </c>
      <c r="H13" s="70">
        <v>0</v>
      </c>
      <c r="I13" s="70">
        <v>0</v>
      </c>
      <c r="J13" s="70">
        <v>0</v>
      </c>
    </row>
    <row r="14" spans="1:27" s="115" customFormat="1" ht="33.75" x14ac:dyDescent="0.25">
      <c r="A14" s="72" t="s">
        <v>40</v>
      </c>
      <c r="B14" s="72" t="s">
        <v>41</v>
      </c>
      <c r="C14" s="73" t="s">
        <v>42</v>
      </c>
      <c r="D14" s="73" t="s">
        <v>43</v>
      </c>
      <c r="E14" s="73" t="s">
        <v>44</v>
      </c>
      <c r="F14" s="74"/>
      <c r="G14" s="73" t="s">
        <v>45</v>
      </c>
      <c r="H14" s="73" t="s">
        <v>46</v>
      </c>
      <c r="I14" s="73" t="s">
        <v>47</v>
      </c>
    </row>
    <row r="15" spans="1:27" s="115" customFormat="1" x14ac:dyDescent="0.25">
      <c r="A15" s="75" t="s">
        <v>48</v>
      </c>
      <c r="B15" s="76" t="s">
        <v>49</v>
      </c>
      <c r="C15" s="77">
        <f ca="1">SUMIFS($E$13:$E$16,$B$13:$B$16,"DAS",$D$13:$D$16,"&lt;&gt;VAGO")</f>
        <v>0</v>
      </c>
      <c r="D15" s="77">
        <f ca="1">SUMIFS($E$13:$E$16,$B$13:$B$16,"DAS",$D$13:$D$16,"VAGO")</f>
        <v>0</v>
      </c>
      <c r="E15" s="77">
        <f t="shared" ref="E15:E25" ca="1" si="0">C15+D15</f>
        <v>0</v>
      </c>
      <c r="F15" s="78"/>
      <c r="G15" s="79">
        <f ca="1">SUMIF($B$13:$B$16,"DAS",$G$13:$G$16)</f>
        <v>0</v>
      </c>
      <c r="H15" s="79">
        <f ca="1">SUMIF($B$13:$B$16,"DAS",$H$13:$H$16)</f>
        <v>0</v>
      </c>
      <c r="I15" s="79">
        <f ca="1">SUMIF($B$13:$B$16,"DAS",$I$13:$I$16)</f>
        <v>0</v>
      </c>
    </row>
    <row r="16" spans="1:27" s="115" customFormat="1" x14ac:dyDescent="0.25">
      <c r="A16" s="75" t="s">
        <v>50</v>
      </c>
      <c r="B16" s="76" t="s">
        <v>0</v>
      </c>
      <c r="C16" s="77">
        <v>1</v>
      </c>
      <c r="D16" s="77">
        <f ca="1">SUMIFS($E$13:$E$16,$B$13:$B$16,"DAS-1",$D$13:$D$16,"VAGO")</f>
        <v>0</v>
      </c>
      <c r="E16" s="77">
        <f t="shared" ca="1" si="0"/>
        <v>1</v>
      </c>
      <c r="F16" s="61"/>
      <c r="G16" s="79">
        <f ca="1">SUMIF($B$13:$B$16,"DAS-1",$G$13:$G$16)</f>
        <v>0</v>
      </c>
      <c r="H16" s="80">
        <v>8479.33</v>
      </c>
      <c r="I16" s="80">
        <v>9360</v>
      </c>
    </row>
    <row r="17" spans="1:9" s="115" customFormat="1" x14ac:dyDescent="0.25">
      <c r="A17" s="75" t="s">
        <v>51</v>
      </c>
      <c r="B17" s="76" t="s">
        <v>52</v>
      </c>
      <c r="C17" s="77">
        <f>SUMIFS($E$13:$E$16,$B$13:$B$16,"DAS-2",$D$13:$D$16,"&lt;&gt;VAGO")</f>
        <v>0</v>
      </c>
      <c r="D17" s="77">
        <v>0</v>
      </c>
      <c r="E17" s="77">
        <f t="shared" si="0"/>
        <v>0</v>
      </c>
      <c r="F17" s="61"/>
      <c r="G17" s="79">
        <f>SUMIF($B$13:$B$16,"DAS-2",$G$13:$G$16)</f>
        <v>0</v>
      </c>
      <c r="H17" s="79">
        <f>SUMIF($B$13:$B$16,"DAS-2",$H$13:$H$16)</f>
        <v>0</v>
      </c>
      <c r="I17" s="79">
        <f>SUMIF($B$13:$B$16,"DAS-2",$I$13:$I$16)</f>
        <v>0</v>
      </c>
    </row>
    <row r="18" spans="1:9" s="115" customFormat="1" x14ac:dyDescent="0.25">
      <c r="A18" s="75" t="s">
        <v>53</v>
      </c>
      <c r="B18" s="76" t="s">
        <v>54</v>
      </c>
      <c r="C18" s="77">
        <f>SUMIFS($E$13:$E$16,$B$13:$B$16,"DAS-3",$D$13:$D$16,"&lt;&gt;VAGO")</f>
        <v>0</v>
      </c>
      <c r="D18" s="77">
        <f>SUMIFS($E$13:$E$16,$B$13:$B$16,"DAS-3",$D$13:$D$16,"VAGO")</f>
        <v>0</v>
      </c>
      <c r="E18" s="77">
        <f t="shared" si="0"/>
        <v>0</v>
      </c>
      <c r="F18" s="61"/>
      <c r="G18" s="79">
        <f>SUMIF($B$13:$B$16,"DAS-3",$G$13:$G$16)</f>
        <v>0</v>
      </c>
      <c r="H18" s="79">
        <f>SUMIF($B$13:$B$16,"DAS-3",$H$13:$H$16)</f>
        <v>0</v>
      </c>
      <c r="I18" s="79">
        <f>SUMIF($B$13:$B$16,"DAS-3",$I$13:$I$16)</f>
        <v>0</v>
      </c>
    </row>
    <row r="19" spans="1:9" s="115" customFormat="1" x14ac:dyDescent="0.25">
      <c r="A19" s="81" t="s">
        <v>55</v>
      </c>
      <c r="B19" s="76" t="s">
        <v>56</v>
      </c>
      <c r="C19" s="77">
        <f>SUMIFS($E$13:$E$16,$B$13:$B$16,"DAS-4",$D$13:$D$16,"&lt;&gt;VAGO")</f>
        <v>0</v>
      </c>
      <c r="D19" s="77">
        <f>SUMIFS($E$13:$E$16,$B$13:$B$16,"DAS-4",$D$13:$D$16,"VAGO")</f>
        <v>0</v>
      </c>
      <c r="E19" s="77">
        <f t="shared" si="0"/>
        <v>0</v>
      </c>
      <c r="F19" s="82"/>
      <c r="G19" s="79">
        <f>SUMIF($B$13:$B$16,"DAS-4",$G$13:$G$16)</f>
        <v>0</v>
      </c>
      <c r="H19" s="79">
        <f>SUMIF($B$13:$B$16,"DAS-4",$H$13:$H$16)</f>
        <v>0</v>
      </c>
      <c r="I19" s="79">
        <f>SUMIF($B$13:$B$16,"DAS-4",$I$13:$I$16)</f>
        <v>0</v>
      </c>
    </row>
    <row r="20" spans="1:9" s="115" customFormat="1" x14ac:dyDescent="0.25">
      <c r="A20" s="81" t="s">
        <v>57</v>
      </c>
      <c r="B20" s="76" t="s">
        <v>2</v>
      </c>
      <c r="C20" s="77">
        <v>2</v>
      </c>
      <c r="D20" s="77">
        <v>0</v>
      </c>
      <c r="E20" s="77">
        <v>2</v>
      </c>
      <c r="F20" s="82"/>
      <c r="G20" s="79">
        <f>SUMIF($B$13:$B$16,"DAS-5",$G$13:$G$16)</f>
        <v>0</v>
      </c>
      <c r="H20" s="80">
        <v>2079.12</v>
      </c>
      <c r="I20" s="80">
        <v>8632.42</v>
      </c>
    </row>
    <row r="21" spans="1:9" s="115" customFormat="1" x14ac:dyDescent="0.25">
      <c r="A21" s="81" t="s">
        <v>58</v>
      </c>
      <c r="B21" s="76" t="s">
        <v>59</v>
      </c>
      <c r="C21" s="77">
        <f>SUMIFS($E$13:$E$16,$B$13:$B$16,"CAA-1",$D$13:$D$16,"&lt;&gt;VAGO")</f>
        <v>0</v>
      </c>
      <c r="D21" s="77">
        <f>SUMIFS($E$13:$E$16,$B$13:$B$16,"CAA-1",$D$13:$D$16,"VAGO")</f>
        <v>0</v>
      </c>
      <c r="E21" s="77">
        <f t="shared" si="0"/>
        <v>0</v>
      </c>
      <c r="F21" s="82"/>
      <c r="G21" s="79">
        <f>SUMIF($B$13:$B$16,"CAA-1",$G$13:$G$16)</f>
        <v>0</v>
      </c>
      <c r="H21" s="79">
        <f>SUMIF($B$13:$B$16,"CAA-1",$H$13:$H$16)</f>
        <v>0</v>
      </c>
      <c r="I21" s="79">
        <f>SUMIF($B$13:$B$16,"CAA-1",$I$13:$I$16)</f>
        <v>0</v>
      </c>
    </row>
    <row r="22" spans="1:9" s="115" customFormat="1" x14ac:dyDescent="0.25">
      <c r="A22" s="81" t="s">
        <v>60</v>
      </c>
      <c r="B22" s="76" t="s">
        <v>8</v>
      </c>
      <c r="C22" s="77">
        <v>3</v>
      </c>
      <c r="D22" s="77">
        <v>0</v>
      </c>
      <c r="E22" s="77">
        <v>3</v>
      </c>
      <c r="F22" s="82"/>
      <c r="G22" s="79">
        <f>SUMIF($B$13:$B$16,"CAA-2",$G$13:$G$16)</f>
        <v>0</v>
      </c>
      <c r="H22" s="80">
        <v>1401.5</v>
      </c>
      <c r="I22" s="80">
        <v>6166.02</v>
      </c>
    </row>
    <row r="23" spans="1:9" s="115" customFormat="1" x14ac:dyDescent="0.25">
      <c r="A23" s="81" t="s">
        <v>61</v>
      </c>
      <c r="B23" s="76" t="s">
        <v>9</v>
      </c>
      <c r="C23" s="77">
        <v>1</v>
      </c>
      <c r="D23" s="77">
        <v>0</v>
      </c>
      <c r="E23" s="77">
        <f t="shared" si="0"/>
        <v>1</v>
      </c>
      <c r="F23" s="61" t="s">
        <v>269</v>
      </c>
      <c r="G23" s="79">
        <f>SUMIF($B$13:$B$16,"CAA-3",$G$13:$G$16)</f>
        <v>0</v>
      </c>
      <c r="H23" s="80">
        <v>500.99</v>
      </c>
      <c r="I23" s="80">
        <v>2003.96</v>
      </c>
    </row>
    <row r="24" spans="1:9" s="115" customFormat="1" x14ac:dyDescent="0.25">
      <c r="A24" s="81" t="s">
        <v>62</v>
      </c>
      <c r="B24" s="76" t="s">
        <v>32</v>
      </c>
      <c r="C24" s="77">
        <v>1</v>
      </c>
      <c r="D24" s="77">
        <v>1</v>
      </c>
      <c r="E24" s="77">
        <v>0</v>
      </c>
      <c r="F24" s="61"/>
      <c r="G24" s="79">
        <f>SUMIF($B$13:$B$16,"CAA-4",$G$13:$G$16)</f>
        <v>0</v>
      </c>
      <c r="H24" s="79">
        <f>SUMIF($B$13:$B$16,"CAA-4",$G$13:$G$16)</f>
        <v>0</v>
      </c>
      <c r="I24" s="79">
        <f>SUMIF($B$13:$B$16,"CAA-4",$G$13:$G$16)</f>
        <v>0</v>
      </c>
    </row>
    <row r="25" spans="1:9" s="115" customFormat="1" x14ac:dyDescent="0.25">
      <c r="A25" s="81" t="s">
        <v>63</v>
      </c>
      <c r="B25" s="76" t="s">
        <v>64</v>
      </c>
      <c r="C25" s="77">
        <f>SUMIFS($E$13:$E$16,$B$13:$B$16,"CAA-5",$D$13:$D$16,"&lt;&gt;VAGO")</f>
        <v>0</v>
      </c>
      <c r="D25" s="77">
        <f>SUMIFS($E$13:$E$16,$B$13:$B$16,"CAA-5",$D$13:$D$16,"VAGO")</f>
        <v>0</v>
      </c>
      <c r="E25" s="77">
        <f t="shared" si="0"/>
        <v>0</v>
      </c>
      <c r="F25" s="61"/>
      <c r="G25" s="79">
        <f>SUMIF($B$13:$B$16,"CAA-5",$G$13:$G$16)</f>
        <v>0</v>
      </c>
      <c r="H25" s="79">
        <f>SUMIF($B$13:$B$16,"CAA-5",$H$13:$H$16)</f>
        <v>0</v>
      </c>
      <c r="I25" s="79">
        <f>SUMIF($B$13:$B$16,"CAA-5",$I$13:$I$16)</f>
        <v>0</v>
      </c>
    </row>
    <row r="26" spans="1:9" s="115" customFormat="1" x14ac:dyDescent="0.25">
      <c r="A26" s="72" t="s">
        <v>65</v>
      </c>
      <c r="B26" s="83"/>
      <c r="C26" s="73">
        <v>7</v>
      </c>
      <c r="D26" s="73">
        <v>0</v>
      </c>
      <c r="E26" s="73">
        <v>8</v>
      </c>
      <c r="F26" s="83"/>
      <c r="G26" s="84">
        <f ca="1">SUM(G15:G25)</f>
        <v>0</v>
      </c>
      <c r="H26" s="84">
        <v>13872.44</v>
      </c>
      <c r="I26" s="84">
        <v>32828.42</v>
      </c>
    </row>
    <row r="27" spans="1:9" s="115" customFormat="1" x14ac:dyDescent="0.25">
      <c r="A27" s="85"/>
      <c r="B27" s="85"/>
      <c r="C27" s="85"/>
      <c r="D27" s="85"/>
      <c r="E27" s="85"/>
      <c r="F27" s="85"/>
      <c r="G27" s="85"/>
      <c r="H27" s="86"/>
      <c r="I27" s="86"/>
    </row>
    <row r="28" spans="1:9" s="115" customFormat="1" x14ac:dyDescent="0.25">
      <c r="A28" s="171" t="s">
        <v>66</v>
      </c>
      <c r="B28" s="125"/>
      <c r="C28" s="125"/>
      <c r="D28" s="125"/>
      <c r="E28" s="125"/>
      <c r="F28" s="125"/>
      <c r="G28" s="125"/>
      <c r="H28" s="125"/>
      <c r="I28" s="126"/>
    </row>
    <row r="29" spans="1:9" s="115" customFormat="1" ht="22.5" x14ac:dyDescent="0.25">
      <c r="A29" s="64" t="s">
        <v>67</v>
      </c>
      <c r="B29" s="64" t="s">
        <v>68</v>
      </c>
      <c r="C29" s="64" t="s">
        <v>69</v>
      </c>
      <c r="D29" s="64" t="s">
        <v>70</v>
      </c>
      <c r="E29" s="64" t="s">
        <v>71</v>
      </c>
      <c r="F29" s="64" t="s">
        <v>72</v>
      </c>
      <c r="G29" s="64" t="s">
        <v>73</v>
      </c>
      <c r="H29" s="64" t="s">
        <v>74</v>
      </c>
      <c r="I29" s="64" t="s">
        <v>75</v>
      </c>
    </row>
    <row r="30" spans="1:9" s="115" customFormat="1" x14ac:dyDescent="0.25">
      <c r="A30" s="54" t="s">
        <v>81</v>
      </c>
      <c r="B30" s="87" t="s">
        <v>3</v>
      </c>
      <c r="C30" s="67" t="s">
        <v>35</v>
      </c>
      <c r="D30" s="67" t="s">
        <v>24</v>
      </c>
      <c r="E30" s="76">
        <v>1</v>
      </c>
      <c r="F30" s="114" t="s">
        <v>25</v>
      </c>
      <c r="G30" s="79">
        <v>8903.2999999999993</v>
      </c>
      <c r="H30" s="79">
        <v>4316.21</v>
      </c>
      <c r="I30" s="79">
        <v>13219.51</v>
      </c>
    </row>
    <row r="31" spans="1:9" s="115" customFormat="1" x14ac:dyDescent="0.25">
      <c r="A31" s="54" t="s">
        <v>77</v>
      </c>
      <c r="B31" s="87" t="s">
        <v>3</v>
      </c>
      <c r="C31" s="67" t="s">
        <v>78</v>
      </c>
      <c r="D31" s="67" t="s">
        <v>24</v>
      </c>
      <c r="E31" s="76">
        <v>1</v>
      </c>
      <c r="F31" s="88" t="s">
        <v>295</v>
      </c>
      <c r="G31" s="89">
        <v>5404.89</v>
      </c>
      <c r="H31" s="79">
        <v>1726.48</v>
      </c>
      <c r="I31" s="79">
        <v>7131.37</v>
      </c>
    </row>
    <row r="32" spans="1:9" s="115" customFormat="1" x14ac:dyDescent="0.25">
      <c r="A32" s="54" t="s">
        <v>79</v>
      </c>
      <c r="B32" s="87" t="s">
        <v>3</v>
      </c>
      <c r="C32" s="67" t="s">
        <v>80</v>
      </c>
      <c r="D32" s="67" t="s">
        <v>24</v>
      </c>
      <c r="E32" s="76">
        <v>1</v>
      </c>
      <c r="F32" s="54" t="s">
        <v>296</v>
      </c>
      <c r="G32" s="79">
        <v>7691</v>
      </c>
      <c r="H32" s="79">
        <v>3884.59</v>
      </c>
      <c r="I32" s="79">
        <v>11575.59</v>
      </c>
    </row>
    <row r="33" spans="1:10" s="115" customFormat="1" x14ac:dyDescent="0.25">
      <c r="A33" s="54" t="s">
        <v>76</v>
      </c>
      <c r="B33" s="87" t="s">
        <v>1</v>
      </c>
      <c r="C33" s="67" t="s">
        <v>35</v>
      </c>
      <c r="D33" s="67" t="s">
        <v>24</v>
      </c>
      <c r="E33" s="76">
        <v>1</v>
      </c>
      <c r="F33" s="88" t="s">
        <v>297</v>
      </c>
      <c r="G33" s="79">
        <v>7691</v>
      </c>
      <c r="H33" s="79">
        <v>3083.01</v>
      </c>
      <c r="I33" s="79">
        <v>10777.01</v>
      </c>
    </row>
    <row r="34" spans="1:10" s="115" customFormat="1" ht="33.75" x14ac:dyDescent="0.25">
      <c r="A34" s="72" t="s">
        <v>82</v>
      </c>
      <c r="B34" s="72" t="s">
        <v>83</v>
      </c>
      <c r="C34" s="73" t="s">
        <v>84</v>
      </c>
      <c r="D34" s="73" t="s">
        <v>85</v>
      </c>
      <c r="E34" s="73" t="s">
        <v>86</v>
      </c>
      <c r="F34" s="90"/>
      <c r="G34" s="73" t="s">
        <v>87</v>
      </c>
      <c r="H34" s="73" t="s">
        <v>88</v>
      </c>
      <c r="I34" s="73" t="s">
        <v>89</v>
      </c>
    </row>
    <row r="35" spans="1:10" s="115" customFormat="1" x14ac:dyDescent="0.25">
      <c r="A35" s="75" t="s">
        <v>90</v>
      </c>
      <c r="B35" s="91" t="s">
        <v>91</v>
      </c>
      <c r="C35" s="77">
        <f ca="1">SUMIFS($E$30:$E$36,$B$30:$B$36,"FDA",$D$30:$D$36,"&lt;&gt;VAGO")</f>
        <v>0</v>
      </c>
      <c r="D35" s="77">
        <f ca="1">SUMIFS($E$30:$E$36,$B$30:$B$36,"FDA",$D$30:$D$36,"VAGO")</f>
        <v>0</v>
      </c>
      <c r="E35" s="77">
        <f t="shared" ref="E35:E39" ca="1" si="1">C35+D35</f>
        <v>0</v>
      </c>
      <c r="F35" s="78"/>
      <c r="G35" s="92">
        <f ca="1">SUMIF($B$30:$B$36,"FDA",$G$30:$G$36)</f>
        <v>0</v>
      </c>
      <c r="H35" s="92">
        <f ca="1">SUMIF($B$30:$B$36,"FDA",$H$30:$H$36)</f>
        <v>0</v>
      </c>
      <c r="I35" s="92">
        <f ca="1">SUMIF($B$30:$B$36,"FDA",$I$30:$I$36)</f>
        <v>0</v>
      </c>
    </row>
    <row r="36" spans="1:10" s="115" customFormat="1" x14ac:dyDescent="0.25">
      <c r="A36" s="75" t="s">
        <v>92</v>
      </c>
      <c r="B36" s="91" t="s">
        <v>93</v>
      </c>
      <c r="C36" s="77">
        <f ca="1">SUMIFS($E$30:$E$36,$B$30:$B$36,"FDA-1",$D$30:$D$36,"&lt;&gt;VAGO")</f>
        <v>0</v>
      </c>
      <c r="D36" s="77">
        <f ca="1">SUMIFS($E$30:$E$36,$B$30:$B$36,"FDA-1",$D$30:$D$36,"VAGO")</f>
        <v>0</v>
      </c>
      <c r="E36" s="77">
        <f t="shared" ca="1" si="1"/>
        <v>0</v>
      </c>
      <c r="F36" s="78"/>
      <c r="G36" s="92">
        <f ca="1">SUMIF($B$30:$B$36,"FDA-1",$G$30:$G$36)</f>
        <v>0</v>
      </c>
      <c r="H36" s="92">
        <f ca="1">SUMIF($B$30:$B$36,"FDA-1",$H$30:$H$36)</f>
        <v>0</v>
      </c>
      <c r="I36" s="92">
        <f ca="1">SUMIF($B$30:$B$36,"FDA-1",$I$30:$I$36)</f>
        <v>0</v>
      </c>
    </row>
    <row r="37" spans="1:10" s="115" customFormat="1" x14ac:dyDescent="0.25">
      <c r="A37" s="75" t="s">
        <v>94</v>
      </c>
      <c r="B37" s="91" t="s">
        <v>95</v>
      </c>
      <c r="C37" s="77">
        <f>SUMIFS($E$30:$E$36,$B$30:$B$36,"FDA-2",$D$30:$D$36,"&lt;&gt;VAGO")</f>
        <v>0</v>
      </c>
      <c r="D37" s="77">
        <f>SUMIFS($E$30:$E$36,$B$30:$B$36,"FDA-2",$D$30:$D$36,"VAGO")</f>
        <v>0</v>
      </c>
      <c r="E37" s="77">
        <f t="shared" si="1"/>
        <v>0</v>
      </c>
      <c r="F37" s="61"/>
      <c r="G37" s="92">
        <f>SUMIF($B$30:$B$36,"FDA-2",$G$30:$G$36)</f>
        <v>0</v>
      </c>
      <c r="H37" s="92">
        <f>SUMIF($B$30:$B$36,"FDA-2",$H$30:$H$36)</f>
        <v>0</v>
      </c>
      <c r="I37" s="92">
        <f>SUMIF($B$30:$B$36,"FDA-2",$I$30:$I$36)</f>
        <v>0</v>
      </c>
    </row>
    <row r="38" spans="1:10" s="115" customFormat="1" x14ac:dyDescent="0.25">
      <c r="A38" s="75" t="s">
        <v>96</v>
      </c>
      <c r="B38" s="91" t="s">
        <v>3</v>
      </c>
      <c r="C38" s="77">
        <f>SUMIFS($E$30:$E$36,$B$30:$B$36,"FDA-3",$D$30:$D$36,"&lt;&gt;VAGO")</f>
        <v>3</v>
      </c>
      <c r="D38" s="77">
        <f>SUMIFS($E$30:$E$36,$B$30:$B$36,"FDA-3",$D$30:$D$36,"VAGO")</f>
        <v>0</v>
      </c>
      <c r="E38" s="77">
        <f t="shared" si="1"/>
        <v>3</v>
      </c>
      <c r="F38" s="82" t="s">
        <v>371</v>
      </c>
      <c r="G38" s="92">
        <v>21999.19</v>
      </c>
      <c r="H38" s="92">
        <v>9927.2800000000007</v>
      </c>
      <c r="I38" s="92">
        <v>31916.47</v>
      </c>
    </row>
    <row r="39" spans="1:10" s="115" customFormat="1" x14ac:dyDescent="0.25">
      <c r="A39" s="75" t="s">
        <v>97</v>
      </c>
      <c r="B39" s="91" t="s">
        <v>1</v>
      </c>
      <c r="C39" s="77">
        <f>SUMIFS($E$30:$E$36,$B$30:$B$36,"FDA-4",$D$30:$D$36,"&lt;&gt;VAGO")</f>
        <v>1</v>
      </c>
      <c r="D39" s="77">
        <f>SUMIFS($E$30:$E$36,$B$30:$B$36,"FDA-4",$D$30:$D$36,"VAGO")</f>
        <v>0</v>
      </c>
      <c r="E39" s="77">
        <f t="shared" si="1"/>
        <v>1</v>
      </c>
      <c r="F39" s="61" t="s">
        <v>299</v>
      </c>
      <c r="G39" s="92">
        <f>SUMIF($B$30:$B$36,"FDA-4",$G$30:$G$36)</f>
        <v>7691</v>
      </c>
      <c r="H39" s="92">
        <f>SUMIF($B$30:$B$36,"FDA-4",$H$30:$H$36)</f>
        <v>3083.01</v>
      </c>
      <c r="I39" s="92">
        <f>SUMIF($B$30:$B$36,"FDA-4",$I$30:$I$36)</f>
        <v>10777.01</v>
      </c>
    </row>
    <row r="40" spans="1:10" s="115" customFormat="1" ht="22.5" x14ac:dyDescent="0.25">
      <c r="A40" s="72" t="s">
        <v>98</v>
      </c>
      <c r="B40" s="90"/>
      <c r="C40" s="73">
        <f t="shared" ref="C40:E40" ca="1" si="2">SUM(C36:C39)</f>
        <v>4</v>
      </c>
      <c r="D40" s="73">
        <f t="shared" ca="1" si="2"/>
        <v>0</v>
      </c>
      <c r="E40" s="73">
        <f t="shared" ca="1" si="2"/>
        <v>4</v>
      </c>
      <c r="F40" s="90"/>
      <c r="G40" s="93">
        <v>29690.19</v>
      </c>
      <c r="H40" s="93">
        <v>13010.29</v>
      </c>
      <c r="I40" s="93">
        <v>42700.480000000003</v>
      </c>
    </row>
    <row r="41" spans="1:10" s="115" customFormat="1" x14ac:dyDescent="0.25">
      <c r="A41" s="94"/>
      <c r="B41" s="94"/>
      <c r="C41" s="94"/>
      <c r="D41" s="94"/>
      <c r="E41" s="94"/>
      <c r="F41" s="94"/>
      <c r="G41" s="94"/>
      <c r="H41" s="94"/>
      <c r="I41" s="95"/>
    </row>
    <row r="42" spans="1:10" s="115" customFormat="1" x14ac:dyDescent="0.25">
      <c r="A42" s="171" t="s">
        <v>99</v>
      </c>
      <c r="B42" s="125"/>
      <c r="C42" s="125"/>
      <c r="D42" s="125"/>
      <c r="E42" s="125"/>
      <c r="F42" s="125"/>
      <c r="G42" s="125"/>
      <c r="H42" s="125"/>
      <c r="I42" s="126"/>
    </row>
    <row r="43" spans="1:10" s="115" customFormat="1" ht="22.5" x14ac:dyDescent="0.25">
      <c r="A43" s="96" t="s">
        <v>100</v>
      </c>
      <c r="B43" s="64" t="s">
        <v>101</v>
      </c>
      <c r="C43" s="64" t="s">
        <v>102</v>
      </c>
      <c r="D43" s="64" t="s">
        <v>103</v>
      </c>
      <c r="E43" s="64" t="s">
        <v>104</v>
      </c>
      <c r="F43" s="64" t="s">
        <v>105</v>
      </c>
      <c r="G43" s="64" t="s">
        <v>106</v>
      </c>
      <c r="H43" s="64" t="s">
        <v>107</v>
      </c>
      <c r="I43" s="64" t="s">
        <v>108</v>
      </c>
    </row>
    <row r="44" spans="1:10" s="115" customFormat="1" x14ac:dyDescent="0.25">
      <c r="A44" s="97" t="s">
        <v>270</v>
      </c>
      <c r="B44" s="98" t="s">
        <v>4</v>
      </c>
      <c r="C44" s="99"/>
      <c r="D44" s="99" t="s">
        <v>24</v>
      </c>
      <c r="E44" s="100">
        <v>1</v>
      </c>
      <c r="F44" s="101" t="s">
        <v>271</v>
      </c>
      <c r="G44" s="102">
        <v>5933.35</v>
      </c>
      <c r="H44" s="102">
        <v>1392.8</v>
      </c>
      <c r="I44" s="92">
        <f>SUM(G44:H44)</f>
        <v>7326.1500000000005</v>
      </c>
      <c r="J44" s="121"/>
    </row>
    <row r="45" spans="1:10" s="115" customFormat="1" x14ac:dyDescent="0.25">
      <c r="A45" s="97" t="s">
        <v>272</v>
      </c>
      <c r="B45" s="98" t="s">
        <v>4</v>
      </c>
      <c r="C45" s="99"/>
      <c r="D45" s="99" t="s">
        <v>24</v>
      </c>
      <c r="E45" s="100">
        <v>1</v>
      </c>
      <c r="F45" s="54" t="s">
        <v>222</v>
      </c>
      <c r="G45" s="102">
        <v>5675.13</v>
      </c>
      <c r="H45" s="102">
        <v>1392.8</v>
      </c>
      <c r="I45" s="92">
        <v>7067.93</v>
      </c>
      <c r="J45" s="121"/>
    </row>
    <row r="46" spans="1:10" s="115" customFormat="1" x14ac:dyDescent="0.25">
      <c r="A46" s="104" t="s">
        <v>236</v>
      </c>
      <c r="B46" s="105" t="s">
        <v>4</v>
      </c>
      <c r="C46" s="105"/>
      <c r="D46" s="67" t="s">
        <v>24</v>
      </c>
      <c r="E46" s="76">
        <v>1</v>
      </c>
      <c r="F46" s="104" t="s">
        <v>218</v>
      </c>
      <c r="G46" s="102">
        <v>8075.56</v>
      </c>
      <c r="H46" s="102">
        <v>1392.8</v>
      </c>
      <c r="I46" s="92">
        <f>SUM(G46:H46)</f>
        <v>9468.36</v>
      </c>
    </row>
    <row r="47" spans="1:10" s="115" customFormat="1" x14ac:dyDescent="0.25">
      <c r="A47" s="54" t="s">
        <v>237</v>
      </c>
      <c r="B47" s="105" t="s">
        <v>4</v>
      </c>
      <c r="C47" s="67"/>
      <c r="D47" s="67" t="s">
        <v>24</v>
      </c>
      <c r="E47" s="76">
        <v>1</v>
      </c>
      <c r="F47" s="54" t="s">
        <v>276</v>
      </c>
      <c r="G47" s="102">
        <v>5250.46</v>
      </c>
      <c r="H47" s="102">
        <v>1392.8</v>
      </c>
      <c r="I47" s="92">
        <f t="shared" ref="I47:I81" si="3">SUM(G47:H47)</f>
        <v>6643.26</v>
      </c>
    </row>
    <row r="48" spans="1:10" s="115" customFormat="1" x14ac:dyDescent="0.25">
      <c r="A48" s="54" t="s">
        <v>238</v>
      </c>
      <c r="B48" s="105" t="s">
        <v>4</v>
      </c>
      <c r="C48" s="67"/>
      <c r="D48" s="67" t="s">
        <v>24</v>
      </c>
      <c r="E48" s="76">
        <v>1</v>
      </c>
      <c r="F48" s="54" t="s">
        <v>356</v>
      </c>
      <c r="G48" s="102">
        <v>5227.96</v>
      </c>
      <c r="H48" s="102">
        <v>1392.8</v>
      </c>
      <c r="I48" s="92">
        <f t="shared" si="3"/>
        <v>6620.76</v>
      </c>
    </row>
    <row r="49" spans="1:9" s="115" customFormat="1" x14ac:dyDescent="0.25">
      <c r="A49" s="54" t="s">
        <v>239</v>
      </c>
      <c r="B49" s="105" t="s">
        <v>4</v>
      </c>
      <c r="C49" s="67"/>
      <c r="D49" s="67" t="s">
        <v>24</v>
      </c>
      <c r="E49" s="76">
        <v>1</v>
      </c>
      <c r="F49" s="54" t="s">
        <v>240</v>
      </c>
      <c r="G49" s="102">
        <v>7691</v>
      </c>
      <c r="H49" s="102">
        <v>1392.8</v>
      </c>
      <c r="I49" s="92">
        <f t="shared" si="3"/>
        <v>9083.7999999999993</v>
      </c>
    </row>
    <row r="50" spans="1:9" s="115" customFormat="1" x14ac:dyDescent="0.25">
      <c r="A50" s="54" t="s">
        <v>241</v>
      </c>
      <c r="B50" s="105" t="s">
        <v>4</v>
      </c>
      <c r="C50" s="67"/>
      <c r="D50" s="67" t="s">
        <v>24</v>
      </c>
      <c r="E50" s="76">
        <v>1</v>
      </c>
      <c r="F50" s="54" t="s">
        <v>109</v>
      </c>
      <c r="G50" s="102">
        <v>8299.11</v>
      </c>
      <c r="H50" s="102">
        <v>1392.8</v>
      </c>
      <c r="I50" s="92">
        <f t="shared" si="3"/>
        <v>9691.91</v>
      </c>
    </row>
    <row r="51" spans="1:9" s="115" customFormat="1" x14ac:dyDescent="0.25">
      <c r="A51" s="54" t="s">
        <v>242</v>
      </c>
      <c r="B51" s="105" t="s">
        <v>4</v>
      </c>
      <c r="C51" s="67"/>
      <c r="D51" s="67" t="s">
        <v>24</v>
      </c>
      <c r="E51" s="76">
        <v>1</v>
      </c>
      <c r="F51" s="54" t="s">
        <v>277</v>
      </c>
      <c r="G51" s="102">
        <v>4902.3900000000003</v>
      </c>
      <c r="H51" s="102">
        <v>1392.8</v>
      </c>
      <c r="I51" s="92">
        <f t="shared" si="3"/>
        <v>6295.1900000000005</v>
      </c>
    </row>
    <row r="52" spans="1:9" s="115" customFormat="1" x14ac:dyDescent="0.25">
      <c r="A52" s="54" t="s">
        <v>243</v>
      </c>
      <c r="B52" s="105" t="s">
        <v>4</v>
      </c>
      <c r="C52" s="67"/>
      <c r="D52" s="67" t="s">
        <v>24</v>
      </c>
      <c r="E52" s="76">
        <v>1</v>
      </c>
      <c r="F52" s="54" t="s">
        <v>111</v>
      </c>
      <c r="G52" s="102">
        <v>7691</v>
      </c>
      <c r="H52" s="102">
        <v>1392.8</v>
      </c>
      <c r="I52" s="92">
        <f t="shared" si="3"/>
        <v>9083.7999999999993</v>
      </c>
    </row>
    <row r="53" spans="1:9" s="115" customFormat="1" x14ac:dyDescent="0.25">
      <c r="A53" s="54" t="s">
        <v>244</v>
      </c>
      <c r="B53" s="105" t="s">
        <v>4</v>
      </c>
      <c r="C53" s="67"/>
      <c r="D53" s="67" t="s">
        <v>24</v>
      </c>
      <c r="E53" s="76">
        <v>1</v>
      </c>
      <c r="F53" s="54" t="s">
        <v>215</v>
      </c>
      <c r="G53" s="102">
        <v>7691</v>
      </c>
      <c r="H53" s="102">
        <v>1392.8</v>
      </c>
      <c r="I53" s="92">
        <f t="shared" si="3"/>
        <v>9083.7999999999993</v>
      </c>
    </row>
    <row r="54" spans="1:9" s="115" customFormat="1" x14ac:dyDescent="0.25">
      <c r="A54" s="54" t="s">
        <v>245</v>
      </c>
      <c r="B54" s="105" t="s">
        <v>4</v>
      </c>
      <c r="C54" s="67"/>
      <c r="D54" s="67" t="s">
        <v>24</v>
      </c>
      <c r="E54" s="76">
        <v>1</v>
      </c>
      <c r="F54" s="54" t="s">
        <v>216</v>
      </c>
      <c r="G54" s="102">
        <v>8075.56</v>
      </c>
      <c r="H54" s="102">
        <v>1392.8</v>
      </c>
      <c r="I54" s="92">
        <f t="shared" si="3"/>
        <v>9468.36</v>
      </c>
    </row>
    <row r="55" spans="1:9" s="115" customFormat="1" x14ac:dyDescent="0.25">
      <c r="A55" s="54" t="s">
        <v>246</v>
      </c>
      <c r="B55" s="105" t="s">
        <v>4</v>
      </c>
      <c r="C55" s="67"/>
      <c r="D55" s="67" t="s">
        <v>24</v>
      </c>
      <c r="E55" s="76">
        <v>1</v>
      </c>
      <c r="F55" s="54" t="s">
        <v>112</v>
      </c>
      <c r="G55" s="102">
        <v>8075.56</v>
      </c>
      <c r="H55" s="102">
        <v>1392.8</v>
      </c>
      <c r="I55" s="92">
        <f t="shared" si="3"/>
        <v>9468.36</v>
      </c>
    </row>
    <row r="56" spans="1:9" s="115" customFormat="1" x14ac:dyDescent="0.25">
      <c r="A56" s="54" t="s">
        <v>247</v>
      </c>
      <c r="B56" s="105" t="s">
        <v>4</v>
      </c>
      <c r="C56" s="67"/>
      <c r="D56" s="67" t="s">
        <v>24</v>
      </c>
      <c r="E56" s="76">
        <v>1</v>
      </c>
      <c r="F56" s="54" t="s">
        <v>219</v>
      </c>
      <c r="G56" s="102">
        <v>7691</v>
      </c>
      <c r="H56" s="102">
        <v>1392.8</v>
      </c>
      <c r="I56" s="92">
        <f t="shared" si="3"/>
        <v>9083.7999999999993</v>
      </c>
    </row>
    <row r="57" spans="1:9" s="115" customFormat="1" x14ac:dyDescent="0.25">
      <c r="A57" s="54" t="s">
        <v>248</v>
      </c>
      <c r="B57" s="105" t="s">
        <v>4</v>
      </c>
      <c r="C57" s="67"/>
      <c r="D57" s="67" t="s">
        <v>24</v>
      </c>
      <c r="E57" s="76">
        <v>1</v>
      </c>
      <c r="F57" s="54" t="s">
        <v>113</v>
      </c>
      <c r="G57" s="102">
        <v>2295.89</v>
      </c>
      <c r="H57" s="102">
        <v>1392.8</v>
      </c>
      <c r="I57" s="92">
        <f t="shared" si="3"/>
        <v>3688.6899999999996</v>
      </c>
    </row>
    <row r="58" spans="1:9" s="115" customFormat="1" x14ac:dyDescent="0.25">
      <c r="A58" s="54" t="s">
        <v>249</v>
      </c>
      <c r="B58" s="105" t="s">
        <v>4</v>
      </c>
      <c r="C58" s="67"/>
      <c r="D58" s="67" t="s">
        <v>24</v>
      </c>
      <c r="E58" s="76">
        <v>1</v>
      </c>
      <c r="F58" s="54" t="s">
        <v>114</v>
      </c>
      <c r="G58" s="102">
        <v>5125.45</v>
      </c>
      <c r="H58" s="102">
        <v>1392.8</v>
      </c>
      <c r="I58" s="92">
        <f>SUM(G58:H58)</f>
        <v>6518.25</v>
      </c>
    </row>
    <row r="59" spans="1:9" s="115" customFormat="1" x14ac:dyDescent="0.25">
      <c r="A59" s="54" t="s">
        <v>250</v>
      </c>
      <c r="B59" s="105" t="s">
        <v>4</v>
      </c>
      <c r="C59" s="67"/>
      <c r="D59" s="67" t="s">
        <v>117</v>
      </c>
      <c r="E59" s="76">
        <v>1</v>
      </c>
      <c r="F59" s="54" t="s">
        <v>397</v>
      </c>
      <c r="G59" s="102">
        <v>0</v>
      </c>
      <c r="H59" s="102">
        <v>1392.8</v>
      </c>
      <c r="I59" s="92">
        <f t="shared" si="3"/>
        <v>1392.8</v>
      </c>
    </row>
    <row r="60" spans="1:9" s="115" customFormat="1" x14ac:dyDescent="0.25">
      <c r="A60" s="54" t="s">
        <v>252</v>
      </c>
      <c r="B60" s="105" t="s">
        <v>4</v>
      </c>
      <c r="C60" s="67"/>
      <c r="D60" s="67" t="s">
        <v>24</v>
      </c>
      <c r="E60" s="76">
        <v>1</v>
      </c>
      <c r="F60" s="54" t="s">
        <v>115</v>
      </c>
      <c r="G60" s="102">
        <v>5933.35</v>
      </c>
      <c r="H60" s="102">
        <v>1392.8</v>
      </c>
      <c r="I60" s="92">
        <f t="shared" si="3"/>
        <v>7326.1500000000005</v>
      </c>
    </row>
    <row r="61" spans="1:9" s="115" customFormat="1" ht="22.5" x14ac:dyDescent="0.25">
      <c r="A61" s="54" t="s">
        <v>253</v>
      </c>
      <c r="B61" s="105" t="s">
        <v>4</v>
      </c>
      <c r="C61" s="67"/>
      <c r="D61" s="67" t="s">
        <v>24</v>
      </c>
      <c r="E61" s="76">
        <v>1</v>
      </c>
      <c r="F61" s="54" t="s">
        <v>372</v>
      </c>
      <c r="G61" s="102" t="s">
        <v>373</v>
      </c>
      <c r="H61" s="102" t="s">
        <v>374</v>
      </c>
      <c r="I61" s="92" t="s">
        <v>375</v>
      </c>
    </row>
    <row r="62" spans="1:9" s="115" customFormat="1" x14ac:dyDescent="0.25">
      <c r="A62" s="54" t="s">
        <v>254</v>
      </c>
      <c r="B62" s="105" t="s">
        <v>4</v>
      </c>
      <c r="C62" s="67"/>
      <c r="D62" s="67" t="s">
        <v>24</v>
      </c>
      <c r="E62" s="76">
        <v>1</v>
      </c>
      <c r="F62" s="54" t="s">
        <v>116</v>
      </c>
      <c r="G62" s="102">
        <v>5404.89</v>
      </c>
      <c r="H62" s="102">
        <v>1392.8</v>
      </c>
      <c r="I62" s="92">
        <f t="shared" si="3"/>
        <v>6797.6900000000005</v>
      </c>
    </row>
    <row r="63" spans="1:9" s="115" customFormat="1" x14ac:dyDescent="0.25">
      <c r="A63" s="54" t="s">
        <v>255</v>
      </c>
      <c r="B63" s="105" t="s">
        <v>4</v>
      </c>
      <c r="C63" s="67"/>
      <c r="D63" s="67" t="s">
        <v>24</v>
      </c>
      <c r="E63" s="76">
        <v>1</v>
      </c>
      <c r="F63" s="54" t="s">
        <v>261</v>
      </c>
      <c r="G63" s="102">
        <v>5650.81</v>
      </c>
      <c r="H63" s="102">
        <v>1392.8</v>
      </c>
      <c r="I63" s="92">
        <f t="shared" si="3"/>
        <v>7043.6100000000006</v>
      </c>
    </row>
    <row r="64" spans="1:9" s="115" customFormat="1" x14ac:dyDescent="0.25">
      <c r="A64" s="54" t="s">
        <v>256</v>
      </c>
      <c r="B64" s="105" t="s">
        <v>4</v>
      </c>
      <c r="C64" s="67"/>
      <c r="D64" s="67" t="s">
        <v>117</v>
      </c>
      <c r="E64" s="76">
        <v>1</v>
      </c>
      <c r="F64" s="54" t="s">
        <v>357</v>
      </c>
      <c r="G64" s="102">
        <v>0</v>
      </c>
      <c r="H64" s="102">
        <v>1392.8</v>
      </c>
      <c r="I64" s="92">
        <f t="shared" si="3"/>
        <v>1392.8</v>
      </c>
    </row>
    <row r="65" spans="1:9" s="115" customFormat="1" x14ac:dyDescent="0.25">
      <c r="A65" s="54" t="s">
        <v>258</v>
      </c>
      <c r="B65" s="105" t="s">
        <v>4</v>
      </c>
      <c r="C65" s="67"/>
      <c r="D65" s="67" t="s">
        <v>24</v>
      </c>
      <c r="E65" s="76">
        <v>1</v>
      </c>
      <c r="F65" s="54" t="s">
        <v>232</v>
      </c>
      <c r="G65" s="102">
        <v>8075.56</v>
      </c>
      <c r="H65" s="102">
        <v>1392.8</v>
      </c>
      <c r="I65" s="92">
        <f t="shared" si="3"/>
        <v>9468.36</v>
      </c>
    </row>
    <row r="66" spans="1:9" s="115" customFormat="1" x14ac:dyDescent="0.25">
      <c r="A66" s="54" t="s">
        <v>341</v>
      </c>
      <c r="B66" s="105" t="s">
        <v>4</v>
      </c>
      <c r="C66" s="67"/>
      <c r="D66" s="67" t="s">
        <v>24</v>
      </c>
      <c r="E66" s="76">
        <v>1</v>
      </c>
      <c r="F66" s="54" t="s">
        <v>235</v>
      </c>
      <c r="G66" s="102">
        <v>2531.2199999999998</v>
      </c>
      <c r="H66" s="102">
        <v>1392.8</v>
      </c>
      <c r="I66" s="92">
        <f t="shared" si="3"/>
        <v>3924.0199999999995</v>
      </c>
    </row>
    <row r="67" spans="1:9" s="115" customFormat="1" ht="22.5" x14ac:dyDescent="0.25">
      <c r="A67" s="54" t="s">
        <v>259</v>
      </c>
      <c r="B67" s="105" t="s">
        <v>5</v>
      </c>
      <c r="C67" s="67"/>
      <c r="D67" s="67" t="s">
        <v>24</v>
      </c>
      <c r="E67" s="76">
        <v>1</v>
      </c>
      <c r="F67" s="54" t="s">
        <v>334</v>
      </c>
      <c r="G67" s="102" t="s">
        <v>376</v>
      </c>
      <c r="H67" s="102" t="s">
        <v>318</v>
      </c>
      <c r="I67" s="92" t="s">
        <v>303</v>
      </c>
    </row>
    <row r="68" spans="1:9" s="115" customFormat="1" x14ac:dyDescent="0.25">
      <c r="A68" s="54" t="s">
        <v>259</v>
      </c>
      <c r="B68" s="105" t="s">
        <v>5</v>
      </c>
      <c r="C68" s="67"/>
      <c r="D68" s="67" t="s">
        <v>24</v>
      </c>
      <c r="E68" s="76">
        <v>1</v>
      </c>
      <c r="F68" s="104" t="s">
        <v>264</v>
      </c>
      <c r="G68" s="102">
        <v>5404.89</v>
      </c>
      <c r="H68" s="102">
        <v>849.76</v>
      </c>
      <c r="I68" s="92">
        <v>6254.65</v>
      </c>
    </row>
    <row r="69" spans="1:9" s="115" customFormat="1" x14ac:dyDescent="0.25">
      <c r="A69" s="54" t="s">
        <v>259</v>
      </c>
      <c r="B69" s="105" t="s">
        <v>5</v>
      </c>
      <c r="C69" s="67"/>
      <c r="D69" s="67" t="s">
        <v>24</v>
      </c>
      <c r="E69" s="76">
        <v>1</v>
      </c>
      <c r="F69" s="54" t="s">
        <v>217</v>
      </c>
      <c r="G69" s="102">
        <v>5675.13</v>
      </c>
      <c r="H69" s="102">
        <v>849.76</v>
      </c>
      <c r="I69" s="92">
        <f t="shared" si="3"/>
        <v>6524.89</v>
      </c>
    </row>
    <row r="70" spans="1:9" s="115" customFormat="1" x14ac:dyDescent="0.25">
      <c r="A70" s="54" t="s">
        <v>260</v>
      </c>
      <c r="B70" s="105" t="s">
        <v>6</v>
      </c>
      <c r="C70" s="67"/>
      <c r="D70" s="67"/>
      <c r="E70" s="76">
        <v>1</v>
      </c>
      <c r="F70" s="106" t="s">
        <v>346</v>
      </c>
      <c r="G70" s="102">
        <v>0</v>
      </c>
      <c r="H70" s="102">
        <v>0</v>
      </c>
      <c r="I70" s="92">
        <f t="shared" si="3"/>
        <v>0</v>
      </c>
    </row>
    <row r="71" spans="1:9" s="115" customFormat="1" x14ac:dyDescent="0.25">
      <c r="A71" s="54" t="s">
        <v>260</v>
      </c>
      <c r="B71" s="105" t="s">
        <v>6</v>
      </c>
      <c r="C71" s="67"/>
      <c r="D71" s="67" t="s">
        <v>24</v>
      </c>
      <c r="E71" s="76">
        <v>1</v>
      </c>
      <c r="F71" s="54" t="s">
        <v>233</v>
      </c>
      <c r="G71" s="102">
        <v>5046.58</v>
      </c>
      <c r="H71" s="102">
        <v>505.81</v>
      </c>
      <c r="I71" s="92">
        <f t="shared" si="3"/>
        <v>5552.39</v>
      </c>
    </row>
    <row r="72" spans="1:9" s="115" customFormat="1" x14ac:dyDescent="0.25">
      <c r="A72" s="54" t="s">
        <v>260</v>
      </c>
      <c r="B72" s="105" t="s">
        <v>6</v>
      </c>
      <c r="C72" s="67"/>
      <c r="D72" s="67" t="s">
        <v>117</v>
      </c>
      <c r="E72" s="76">
        <v>1</v>
      </c>
      <c r="F72" s="54" t="s">
        <v>359</v>
      </c>
      <c r="G72" s="102">
        <v>0</v>
      </c>
      <c r="H72" s="102">
        <v>505.81</v>
      </c>
      <c r="I72" s="92">
        <f t="shared" si="3"/>
        <v>505.81</v>
      </c>
    </row>
    <row r="73" spans="1:9" s="115" customFormat="1" x14ac:dyDescent="0.25">
      <c r="A73" s="54" t="s">
        <v>260</v>
      </c>
      <c r="B73" s="105" t="s">
        <v>6</v>
      </c>
      <c r="C73" s="105"/>
      <c r="D73" s="67" t="s">
        <v>117</v>
      </c>
      <c r="E73" s="76">
        <v>1</v>
      </c>
      <c r="F73" s="88" t="s">
        <v>398</v>
      </c>
      <c r="G73" s="102">
        <v>0</v>
      </c>
      <c r="H73" s="102">
        <v>151.74</v>
      </c>
      <c r="I73" s="92">
        <f t="shared" si="3"/>
        <v>151.74</v>
      </c>
    </row>
    <row r="74" spans="1:9" s="115" customFormat="1" x14ac:dyDescent="0.25">
      <c r="A74" s="54" t="s">
        <v>260</v>
      </c>
      <c r="B74" s="105" t="s">
        <v>6</v>
      </c>
      <c r="C74" s="105"/>
      <c r="D74" s="67" t="s">
        <v>24</v>
      </c>
      <c r="E74" s="76">
        <v>1</v>
      </c>
      <c r="F74" s="88" t="s">
        <v>304</v>
      </c>
      <c r="G74" s="102">
        <v>5763.82</v>
      </c>
      <c r="H74" s="102">
        <v>505.81</v>
      </c>
      <c r="I74" s="92">
        <f t="shared" si="3"/>
        <v>6269.63</v>
      </c>
    </row>
    <row r="75" spans="1:9" s="115" customFormat="1" x14ac:dyDescent="0.25">
      <c r="A75" s="104" t="s">
        <v>262</v>
      </c>
      <c r="B75" s="105" t="s">
        <v>7</v>
      </c>
      <c r="C75" s="105"/>
      <c r="D75" s="67" t="s">
        <v>24</v>
      </c>
      <c r="E75" s="76">
        <v>1</v>
      </c>
      <c r="F75" s="104" t="s">
        <v>229</v>
      </c>
      <c r="G75" s="102">
        <v>7691</v>
      </c>
      <c r="H75" s="102">
        <v>465.35</v>
      </c>
      <c r="I75" s="92">
        <f t="shared" si="3"/>
        <v>8156.35</v>
      </c>
    </row>
    <row r="76" spans="1:9" s="115" customFormat="1" x14ac:dyDescent="0.25">
      <c r="A76" s="104" t="s">
        <v>262</v>
      </c>
      <c r="B76" s="105" t="s">
        <v>7</v>
      </c>
      <c r="C76" s="105"/>
      <c r="D76" s="67" t="s">
        <v>117</v>
      </c>
      <c r="E76" s="76">
        <v>1</v>
      </c>
      <c r="F76" s="104" t="s">
        <v>361</v>
      </c>
      <c r="G76" s="102">
        <v>0</v>
      </c>
      <c r="H76" s="102">
        <v>465.35</v>
      </c>
      <c r="I76" s="92">
        <f t="shared" si="3"/>
        <v>465.35</v>
      </c>
    </row>
    <row r="77" spans="1:9" s="115" customFormat="1" x14ac:dyDescent="0.25">
      <c r="A77" s="104" t="s">
        <v>262</v>
      </c>
      <c r="B77" s="105" t="s">
        <v>7</v>
      </c>
      <c r="C77" s="105"/>
      <c r="D77" s="67"/>
      <c r="E77" s="76">
        <v>1</v>
      </c>
      <c r="F77" s="106" t="s">
        <v>346</v>
      </c>
      <c r="G77" s="102">
        <v>0</v>
      </c>
      <c r="H77" s="102">
        <v>0</v>
      </c>
      <c r="I77" s="92">
        <f t="shared" si="3"/>
        <v>0</v>
      </c>
    </row>
    <row r="78" spans="1:9" s="115" customFormat="1" x14ac:dyDescent="0.25">
      <c r="A78" s="104" t="s">
        <v>262</v>
      </c>
      <c r="B78" s="105" t="s">
        <v>7</v>
      </c>
      <c r="C78" s="105"/>
      <c r="D78" s="67" t="s">
        <v>117</v>
      </c>
      <c r="E78" s="76">
        <v>1</v>
      </c>
      <c r="F78" s="104" t="s">
        <v>362</v>
      </c>
      <c r="G78" s="102">
        <v>0</v>
      </c>
      <c r="H78" s="102">
        <v>465.35</v>
      </c>
      <c r="I78" s="92">
        <f t="shared" si="3"/>
        <v>465.35</v>
      </c>
    </row>
    <row r="79" spans="1:9" s="115" customFormat="1" x14ac:dyDescent="0.25">
      <c r="A79" s="104" t="s">
        <v>262</v>
      </c>
      <c r="B79" s="105" t="s">
        <v>7</v>
      </c>
      <c r="C79" s="105"/>
      <c r="D79" s="67" t="s">
        <v>24</v>
      </c>
      <c r="E79" s="76">
        <v>1</v>
      </c>
      <c r="F79" s="104" t="s">
        <v>305</v>
      </c>
      <c r="G79" s="102">
        <v>5563.85</v>
      </c>
      <c r="H79" s="102">
        <v>465.35</v>
      </c>
      <c r="I79" s="92">
        <f t="shared" si="3"/>
        <v>6029.2000000000007</v>
      </c>
    </row>
    <row r="80" spans="1:9" s="115" customFormat="1" x14ac:dyDescent="0.25">
      <c r="A80" s="104" t="s">
        <v>262</v>
      </c>
      <c r="B80" s="105" t="s">
        <v>7</v>
      </c>
      <c r="C80" s="105"/>
      <c r="D80" s="67" t="s">
        <v>24</v>
      </c>
      <c r="E80" s="76">
        <v>1</v>
      </c>
      <c r="F80" s="104" t="s">
        <v>273</v>
      </c>
      <c r="G80" s="102">
        <v>4440.25</v>
      </c>
      <c r="H80" s="102">
        <v>465.35</v>
      </c>
      <c r="I80" s="92">
        <f t="shared" si="3"/>
        <v>4905.6000000000004</v>
      </c>
    </row>
    <row r="81" spans="1:9" s="115" customFormat="1" x14ac:dyDescent="0.25">
      <c r="A81" s="104" t="s">
        <v>262</v>
      </c>
      <c r="B81" s="105" t="s">
        <v>7</v>
      </c>
      <c r="C81" s="105"/>
      <c r="D81" s="67" t="s">
        <v>117</v>
      </c>
      <c r="E81" s="76">
        <v>1</v>
      </c>
      <c r="F81" s="104" t="s">
        <v>363</v>
      </c>
      <c r="G81" s="102">
        <v>0</v>
      </c>
      <c r="H81" s="102">
        <v>465.35</v>
      </c>
      <c r="I81" s="92">
        <f t="shared" si="3"/>
        <v>465.35</v>
      </c>
    </row>
    <row r="82" spans="1:9" s="115" customFormat="1" ht="33.75" x14ac:dyDescent="0.25">
      <c r="A82" s="72" t="s">
        <v>120</v>
      </c>
      <c r="B82" s="72" t="s">
        <v>121</v>
      </c>
      <c r="C82" s="73" t="s">
        <v>122</v>
      </c>
      <c r="D82" s="73" t="s">
        <v>123</v>
      </c>
      <c r="E82" s="73" t="s">
        <v>124</v>
      </c>
      <c r="F82" s="90"/>
      <c r="G82" s="73" t="s">
        <v>125</v>
      </c>
      <c r="H82" s="73" t="s">
        <v>126</v>
      </c>
      <c r="I82" s="73" t="s">
        <v>127</v>
      </c>
    </row>
    <row r="83" spans="1:9" s="115" customFormat="1" ht="33.75" x14ac:dyDescent="0.25">
      <c r="A83" s="75" t="s">
        <v>128</v>
      </c>
      <c r="B83" s="91" t="s">
        <v>4</v>
      </c>
      <c r="C83" s="77">
        <v>23</v>
      </c>
      <c r="D83" s="77">
        <v>0</v>
      </c>
      <c r="E83" s="77">
        <v>23</v>
      </c>
      <c r="F83" s="78" t="s">
        <v>377</v>
      </c>
      <c r="G83" s="92">
        <v>140775.10999999999</v>
      </c>
      <c r="H83" s="92">
        <v>33627.199999999997</v>
      </c>
      <c r="I83" s="92">
        <v>174502.31</v>
      </c>
    </row>
    <row r="84" spans="1:9" s="115" customFormat="1" ht="33.75" x14ac:dyDescent="0.25">
      <c r="A84" s="75" t="s">
        <v>129</v>
      </c>
      <c r="B84" s="91" t="s">
        <v>130</v>
      </c>
      <c r="C84" s="77">
        <f>SUMIFS($E$49:$E$84,$B$49:$B$84,"FGS-2",$D$49:$D$84,"&lt;&gt;VAGO")</f>
        <v>3</v>
      </c>
      <c r="D84" s="77">
        <f>SUMIFS($E$49:$E$84,$B$49:$B$84,"FGS-2",$D$49:$D$84,"VAGO")</f>
        <v>0</v>
      </c>
      <c r="E84" s="77">
        <f t="shared" ref="E84:E88" si="4">C84+D84</f>
        <v>3</v>
      </c>
      <c r="F84" s="61" t="s">
        <v>331</v>
      </c>
      <c r="G84" s="92">
        <v>25123.200000000001</v>
      </c>
      <c r="H84" s="92">
        <v>3399.04</v>
      </c>
      <c r="I84" s="92">
        <v>28522.240000000002</v>
      </c>
    </row>
    <row r="85" spans="1:9" s="115" customFormat="1" x14ac:dyDescent="0.25">
      <c r="A85" s="75" t="s">
        <v>131</v>
      </c>
      <c r="B85" s="91" t="s">
        <v>132</v>
      </c>
      <c r="C85" s="77">
        <f>SUMIFS($E$49:$E$84,$B$49:$B$84,"FGS-3",$D$49:$D$84,"&lt;&gt;VAGO")</f>
        <v>0</v>
      </c>
      <c r="D85" s="77">
        <f>SUMIFS($E$49:$E$84,$B$49:$B$84,"FGS-3",$D$49:$D$84,"VAGO")</f>
        <v>0</v>
      </c>
      <c r="E85" s="77">
        <f t="shared" si="4"/>
        <v>0</v>
      </c>
      <c r="F85" s="61"/>
      <c r="G85" s="92">
        <f>SUMIF($B$49:$B$84,"FGS-3",$G$49:$G$84)</f>
        <v>0</v>
      </c>
      <c r="H85" s="92">
        <f>SUMIF($B$49:$B$84,"FGS-3",$G$49:$G$84)</f>
        <v>0</v>
      </c>
      <c r="I85" s="92">
        <f>SUMIF($B$49:$B$84,"FGS-3",$G$49:$G$84)</f>
        <v>0</v>
      </c>
    </row>
    <row r="86" spans="1:9" s="115" customFormat="1" x14ac:dyDescent="0.25">
      <c r="A86" s="81" t="s">
        <v>133</v>
      </c>
      <c r="B86" s="107" t="s">
        <v>134</v>
      </c>
      <c r="C86" s="77">
        <v>5</v>
      </c>
      <c r="D86" s="77">
        <v>0</v>
      </c>
      <c r="E86" s="77">
        <f t="shared" si="4"/>
        <v>5</v>
      </c>
      <c r="F86" s="82"/>
      <c r="G86" s="92">
        <v>10810.4</v>
      </c>
      <c r="H86" s="92">
        <v>2428.9499999999998</v>
      </c>
      <c r="I86" s="92">
        <v>13239.35</v>
      </c>
    </row>
    <row r="87" spans="1:9" s="115" customFormat="1" x14ac:dyDescent="0.25">
      <c r="A87" s="75" t="s">
        <v>135</v>
      </c>
      <c r="B87" s="91" t="s">
        <v>7</v>
      </c>
      <c r="C87" s="77">
        <v>6</v>
      </c>
      <c r="D87" s="77">
        <v>1</v>
      </c>
      <c r="E87" s="77">
        <v>7</v>
      </c>
      <c r="F87" s="82"/>
      <c r="G87" s="92">
        <v>17695.099999999999</v>
      </c>
      <c r="H87" s="92">
        <v>2792.1</v>
      </c>
      <c r="I87" s="92">
        <v>20487.2</v>
      </c>
    </row>
    <row r="88" spans="1:9" s="115" customFormat="1" x14ac:dyDescent="0.25">
      <c r="A88" s="75" t="s">
        <v>136</v>
      </c>
      <c r="B88" s="91" t="s">
        <v>137</v>
      </c>
      <c r="C88" s="77">
        <f>SUMIFS($E$49:$E$84,$B$49:$B$84,"FGA-3",$D$49:$D$84,"&lt;&gt;VAGO")</f>
        <v>0</v>
      </c>
      <c r="D88" s="77">
        <f>SUMIFS($E$49:$E$84,$B$49:$B$84,"FGA-3",$D$49:$D$84,"VAGO")</f>
        <v>0</v>
      </c>
      <c r="E88" s="77">
        <f t="shared" si="4"/>
        <v>0</v>
      </c>
      <c r="F88" s="61"/>
      <c r="G88" s="92">
        <f>SUMIF($B$49:$B$84,"FGA-3",$G$49:$G$84)</f>
        <v>0</v>
      </c>
      <c r="H88" s="92">
        <f>SUMIF($B$49:$B$84,"FGA-3",$G$49:$G$84)</f>
        <v>0</v>
      </c>
      <c r="I88" s="92">
        <f>SUMIF($B$49:$B$84,"FGA-3",$G$49:$G$84)</f>
        <v>0</v>
      </c>
    </row>
    <row r="89" spans="1:9" s="115" customFormat="1" ht="22.5" x14ac:dyDescent="0.25">
      <c r="A89" s="72" t="s">
        <v>138</v>
      </c>
      <c r="B89" s="90"/>
      <c r="C89" s="73">
        <f t="shared" ref="C89:E89" si="5">SUM(C83:C88)</f>
        <v>37</v>
      </c>
      <c r="D89" s="73">
        <f t="shared" si="5"/>
        <v>1</v>
      </c>
      <c r="E89" s="73">
        <f t="shared" si="5"/>
        <v>38</v>
      </c>
      <c r="F89" s="90"/>
      <c r="G89" s="93">
        <v>188759.46</v>
      </c>
      <c r="H89" s="93">
        <v>42257.29</v>
      </c>
      <c r="I89" s="93">
        <v>231017.75</v>
      </c>
    </row>
    <row r="90" spans="1:9" s="115" customFormat="1" x14ac:dyDescent="0.25">
      <c r="A90" s="85"/>
      <c r="B90" s="85"/>
      <c r="C90" s="85"/>
      <c r="D90" s="85"/>
      <c r="E90" s="85"/>
      <c r="F90" s="85"/>
      <c r="G90" s="85"/>
      <c r="H90" s="85"/>
      <c r="I90" s="108"/>
    </row>
    <row r="91" spans="1:9" s="115" customFormat="1" ht="45" x14ac:dyDescent="0.25">
      <c r="A91" s="72"/>
      <c r="B91" s="72"/>
      <c r="C91" s="73" t="s">
        <v>139</v>
      </c>
      <c r="D91" s="73" t="s">
        <v>140</v>
      </c>
      <c r="E91" s="73" t="s">
        <v>141</v>
      </c>
      <c r="F91" s="83"/>
      <c r="G91" s="73" t="s">
        <v>142</v>
      </c>
      <c r="H91" s="73" t="s">
        <v>143</v>
      </c>
      <c r="I91" s="73" t="s">
        <v>144</v>
      </c>
    </row>
    <row r="92" spans="1:9" s="115" customFormat="1" ht="22.5" x14ac:dyDescent="0.25">
      <c r="A92" s="72" t="s">
        <v>145</v>
      </c>
      <c r="B92" s="83"/>
      <c r="C92" s="73">
        <v>48</v>
      </c>
      <c r="D92" s="73">
        <v>2</v>
      </c>
      <c r="E92" s="73">
        <v>50</v>
      </c>
      <c r="F92" s="83"/>
      <c r="G92" s="93">
        <v>218449.65</v>
      </c>
      <c r="H92" s="93">
        <v>100842.22</v>
      </c>
      <c r="I92" s="93">
        <v>319391.87</v>
      </c>
    </row>
    <row r="93" spans="1:9" s="115" customFormat="1" x14ac:dyDescent="0.25">
      <c r="A93" s="118"/>
      <c r="B93" s="118"/>
      <c r="C93" s="118"/>
      <c r="D93" s="118"/>
      <c r="E93" s="118"/>
      <c r="F93" s="118"/>
      <c r="G93" s="118"/>
      <c r="H93" s="118"/>
      <c r="I93" s="120"/>
    </row>
    <row r="94" spans="1:9" s="115" customFormat="1" x14ac:dyDescent="0.25">
      <c r="A94" s="172" t="s">
        <v>146</v>
      </c>
      <c r="B94" s="173"/>
      <c r="C94" s="173"/>
      <c r="D94" s="173"/>
      <c r="E94" s="173"/>
      <c r="F94" s="174"/>
      <c r="G94" s="119"/>
      <c r="H94" s="118"/>
      <c r="I94" s="118"/>
    </row>
    <row r="95" spans="1:9" s="115" customFormat="1" x14ac:dyDescent="0.25">
      <c r="A95" s="131" t="s">
        <v>147</v>
      </c>
      <c r="B95" s="152"/>
      <c r="C95" s="152"/>
      <c r="D95" s="152"/>
      <c r="E95" s="152"/>
      <c r="F95" s="153"/>
      <c r="G95" s="119"/>
      <c r="H95" s="118"/>
      <c r="I95" s="118"/>
    </row>
    <row r="96" spans="1:9" s="115" customFormat="1" x14ac:dyDescent="0.25">
      <c r="A96" s="131" t="s">
        <v>148</v>
      </c>
      <c r="B96" s="152"/>
      <c r="C96" s="152"/>
      <c r="D96" s="152"/>
      <c r="E96" s="152"/>
      <c r="F96" s="153"/>
      <c r="G96" s="119"/>
      <c r="H96" s="118"/>
      <c r="I96" s="118"/>
    </row>
    <row r="97" spans="1:9" s="115" customFormat="1" x14ac:dyDescent="0.25">
      <c r="A97" s="124" t="s">
        <v>149</v>
      </c>
      <c r="B97" s="164"/>
      <c r="C97" s="164"/>
      <c r="D97" s="164"/>
      <c r="E97" s="164"/>
      <c r="F97" s="165"/>
      <c r="G97" s="119"/>
      <c r="H97" s="118"/>
      <c r="I97" s="118"/>
    </row>
    <row r="98" spans="1:9" s="115" customFormat="1" x14ac:dyDescent="0.25">
      <c r="A98" s="124" t="s">
        <v>150</v>
      </c>
      <c r="B98" s="164"/>
      <c r="C98" s="164"/>
      <c r="D98" s="164"/>
      <c r="E98" s="164"/>
      <c r="F98" s="165"/>
      <c r="G98" s="119"/>
      <c r="H98" s="118"/>
      <c r="I98" s="118"/>
    </row>
    <row r="99" spans="1:9" s="115" customFormat="1" x14ac:dyDescent="0.25">
      <c r="A99" s="124" t="s">
        <v>151</v>
      </c>
      <c r="B99" s="164"/>
      <c r="C99" s="164"/>
      <c r="D99" s="164"/>
      <c r="E99" s="164"/>
      <c r="F99" s="165"/>
      <c r="G99" s="119"/>
      <c r="H99" s="118"/>
      <c r="I99" s="118"/>
    </row>
    <row r="100" spans="1:9" s="115" customFormat="1" x14ac:dyDescent="0.25">
      <c r="A100" s="196" t="s">
        <v>378</v>
      </c>
      <c r="B100" s="197"/>
      <c r="C100" s="197"/>
      <c r="D100" s="197"/>
      <c r="E100" s="197"/>
      <c r="F100" s="198"/>
      <c r="G100" s="119"/>
      <c r="H100" s="118"/>
      <c r="I100" s="118"/>
    </row>
    <row r="101" spans="1:9" s="115" customFormat="1" x14ac:dyDescent="0.25">
      <c r="A101" s="124" t="s">
        <v>234</v>
      </c>
      <c r="B101" s="164"/>
      <c r="C101" s="164"/>
      <c r="D101" s="164"/>
      <c r="E101" s="164"/>
      <c r="F101" s="165"/>
      <c r="G101" s="119"/>
      <c r="H101" s="118"/>
      <c r="I101" s="118"/>
    </row>
    <row r="102" spans="1:9" s="115" customFormat="1" x14ac:dyDescent="0.25">
      <c r="A102" s="124" t="s">
        <v>265</v>
      </c>
      <c r="B102" s="164"/>
      <c r="C102" s="164"/>
      <c r="D102" s="164"/>
      <c r="E102" s="164"/>
      <c r="F102" s="165"/>
      <c r="G102" s="119"/>
      <c r="H102" s="118"/>
      <c r="I102" s="118"/>
    </row>
    <row r="103" spans="1:9" s="115" customFormat="1" x14ac:dyDescent="0.25">
      <c r="A103" s="199" t="s">
        <v>379</v>
      </c>
      <c r="B103" s="200"/>
      <c r="C103" s="200"/>
      <c r="D103" s="200"/>
      <c r="E103" s="200"/>
      <c r="F103" s="201"/>
      <c r="G103" s="119"/>
      <c r="H103" s="118"/>
      <c r="I103" s="118"/>
    </row>
    <row r="104" spans="1:9" s="115" customFormat="1" x14ac:dyDescent="0.25">
      <c r="A104" s="199" t="s">
        <v>390</v>
      </c>
      <c r="B104" s="200"/>
      <c r="C104" s="200"/>
      <c r="D104" s="200"/>
      <c r="E104" s="200"/>
      <c r="F104" s="201"/>
      <c r="G104" s="119"/>
      <c r="H104" s="118"/>
      <c r="I104" s="118"/>
    </row>
    <row r="105" spans="1:9" s="115" customFormat="1" x14ac:dyDescent="0.25">
      <c r="A105" s="178"/>
      <c r="B105" s="179"/>
      <c r="C105" s="179"/>
      <c r="D105" s="179"/>
      <c r="E105" s="179"/>
      <c r="F105" s="180"/>
      <c r="G105" s="119"/>
      <c r="H105" s="118"/>
      <c r="I105" s="118"/>
    </row>
    <row r="106" spans="1:9" s="115" customFormat="1" x14ac:dyDescent="0.25">
      <c r="A106" s="181"/>
      <c r="B106" s="182"/>
      <c r="C106" s="182"/>
      <c r="D106" s="182"/>
      <c r="E106" s="182"/>
      <c r="F106" s="183"/>
      <c r="G106" s="119"/>
      <c r="H106" s="118"/>
      <c r="I106" s="118"/>
    </row>
    <row r="107" spans="1:9" s="115" customFormat="1" x14ac:dyDescent="0.25">
      <c r="A107" s="184"/>
      <c r="B107" s="185"/>
      <c r="C107" s="185"/>
      <c r="D107" s="185"/>
      <c r="E107" s="185"/>
      <c r="F107" s="186"/>
      <c r="G107" s="119"/>
      <c r="H107" s="118"/>
      <c r="I107" s="118"/>
    </row>
    <row r="108" spans="1:9" s="115" customFormat="1" x14ac:dyDescent="0.25">
      <c r="A108" s="187" t="s">
        <v>152</v>
      </c>
      <c r="B108" s="188"/>
      <c r="C108" s="188"/>
      <c r="D108" s="188"/>
      <c r="E108" s="188"/>
      <c r="F108" s="189"/>
      <c r="G108" s="119"/>
      <c r="H108" s="118"/>
      <c r="I108" s="118"/>
    </row>
    <row r="109" spans="1:9" s="115" customFormat="1" x14ac:dyDescent="0.25">
      <c r="A109" s="190" t="s">
        <v>153</v>
      </c>
      <c r="B109" s="191"/>
      <c r="C109" s="191"/>
      <c r="D109" s="191"/>
      <c r="E109" s="191"/>
      <c r="F109" s="192"/>
      <c r="G109" s="119"/>
      <c r="H109" s="118"/>
      <c r="I109" s="118"/>
    </row>
    <row r="110" spans="1:9" s="115" customFormat="1" x14ac:dyDescent="0.25">
      <c r="A110" s="175" t="s">
        <v>154</v>
      </c>
      <c r="B110" s="176"/>
      <c r="C110" s="176"/>
      <c r="D110" s="176"/>
      <c r="E110" s="176"/>
      <c r="F110" s="177"/>
      <c r="G110" s="119"/>
      <c r="H110" s="118"/>
      <c r="I110" s="118"/>
    </row>
    <row r="111" spans="1:9" s="115" customFormat="1" x14ac:dyDescent="0.25">
      <c r="A111" s="175" t="s">
        <v>155</v>
      </c>
      <c r="B111" s="176"/>
      <c r="C111" s="176"/>
      <c r="D111" s="176"/>
      <c r="E111" s="176"/>
      <c r="F111" s="177"/>
      <c r="G111" s="119"/>
      <c r="H111" s="118"/>
      <c r="I111" s="118"/>
    </row>
    <row r="112" spans="1:9" s="115" customFormat="1" x14ac:dyDescent="0.25">
      <c r="A112" s="175" t="s">
        <v>156</v>
      </c>
      <c r="B112" s="176"/>
      <c r="C112" s="176"/>
      <c r="D112" s="176"/>
      <c r="E112" s="176"/>
      <c r="F112" s="177"/>
      <c r="G112" s="119"/>
      <c r="H112" s="118"/>
      <c r="I112" s="118"/>
    </row>
    <row r="113" spans="1:9" s="115" customFormat="1" x14ac:dyDescent="0.25">
      <c r="A113" s="175" t="s">
        <v>157</v>
      </c>
      <c r="B113" s="176"/>
      <c r="C113" s="176"/>
      <c r="D113" s="176"/>
      <c r="E113" s="176"/>
      <c r="F113" s="177"/>
      <c r="G113" s="119"/>
      <c r="H113" s="118"/>
      <c r="I113" s="118"/>
    </row>
    <row r="114" spans="1:9" s="115" customFormat="1" x14ac:dyDescent="0.25">
      <c r="A114" s="175" t="s">
        <v>158</v>
      </c>
      <c r="B114" s="176"/>
      <c r="C114" s="176"/>
      <c r="D114" s="176"/>
      <c r="E114" s="176"/>
      <c r="F114" s="177"/>
      <c r="G114" s="119"/>
      <c r="H114" s="118"/>
      <c r="I114" s="118"/>
    </row>
    <row r="115" spans="1:9" s="115" customFormat="1" x14ac:dyDescent="0.25">
      <c r="A115" s="175" t="s">
        <v>159</v>
      </c>
      <c r="B115" s="176"/>
      <c r="C115" s="176"/>
      <c r="D115" s="176"/>
      <c r="E115" s="176"/>
      <c r="F115" s="177"/>
      <c r="G115" s="119"/>
      <c r="H115" s="118"/>
      <c r="I115" s="118"/>
    </row>
    <row r="116" spans="1:9" s="115" customFormat="1" x14ac:dyDescent="0.25">
      <c r="A116" s="175" t="s">
        <v>160</v>
      </c>
      <c r="B116" s="176"/>
      <c r="C116" s="176"/>
      <c r="D116" s="176"/>
      <c r="E116" s="176"/>
      <c r="F116" s="177"/>
      <c r="G116" s="119"/>
      <c r="H116" s="118"/>
      <c r="I116" s="118"/>
    </row>
    <row r="117" spans="1:9" s="115" customFormat="1" x14ac:dyDescent="0.25">
      <c r="A117" s="175" t="s">
        <v>161</v>
      </c>
      <c r="B117" s="176"/>
      <c r="C117" s="176"/>
      <c r="D117" s="176"/>
      <c r="E117" s="176"/>
      <c r="F117" s="177"/>
      <c r="G117" s="119"/>
      <c r="H117" s="118"/>
      <c r="I117" s="118"/>
    </row>
    <row r="118" spans="1:9" s="115" customFormat="1" x14ac:dyDescent="0.25">
      <c r="A118" s="175" t="s">
        <v>162</v>
      </c>
      <c r="B118" s="176"/>
      <c r="C118" s="176"/>
      <c r="D118" s="176"/>
      <c r="E118" s="176"/>
      <c r="F118" s="177"/>
      <c r="G118" s="119"/>
      <c r="H118" s="118"/>
      <c r="I118" s="118"/>
    </row>
    <row r="119" spans="1:9" s="115" customFormat="1" x14ac:dyDescent="0.25">
      <c r="A119" s="175" t="s">
        <v>163</v>
      </c>
      <c r="B119" s="176"/>
      <c r="C119" s="176"/>
      <c r="D119" s="176"/>
      <c r="E119" s="176"/>
      <c r="F119" s="177"/>
      <c r="G119" s="119"/>
      <c r="H119" s="118"/>
      <c r="I119" s="118"/>
    </row>
    <row r="120" spans="1:9" s="115" customFormat="1" x14ac:dyDescent="0.25">
      <c r="A120" s="175" t="s">
        <v>164</v>
      </c>
      <c r="B120" s="176"/>
      <c r="C120" s="176"/>
      <c r="D120" s="176"/>
      <c r="E120" s="176"/>
      <c r="F120" s="177"/>
      <c r="G120" s="119"/>
      <c r="H120" s="118"/>
      <c r="I120" s="118"/>
    </row>
    <row r="121" spans="1:9" s="115" customFormat="1" x14ac:dyDescent="0.25">
      <c r="A121" s="175" t="s">
        <v>165</v>
      </c>
      <c r="B121" s="176"/>
      <c r="C121" s="176"/>
      <c r="D121" s="176"/>
      <c r="E121" s="176"/>
      <c r="F121" s="177"/>
      <c r="G121" s="119"/>
      <c r="H121" s="118"/>
      <c r="I121" s="118"/>
    </row>
    <row r="122" spans="1:9" s="115" customFormat="1" x14ac:dyDescent="0.25">
      <c r="A122" s="175" t="s">
        <v>166</v>
      </c>
      <c r="B122" s="176"/>
      <c r="C122" s="176"/>
      <c r="D122" s="176"/>
      <c r="E122" s="176"/>
      <c r="F122" s="177"/>
      <c r="G122" s="119"/>
      <c r="H122" s="118"/>
      <c r="I122" s="118"/>
    </row>
    <row r="123" spans="1:9" s="115" customFormat="1" x14ac:dyDescent="0.25">
      <c r="A123" s="175" t="s">
        <v>167</v>
      </c>
      <c r="B123" s="176"/>
      <c r="C123" s="176"/>
      <c r="D123" s="176"/>
      <c r="E123" s="176"/>
      <c r="F123" s="177"/>
      <c r="G123" s="119"/>
      <c r="H123" s="118"/>
      <c r="I123" s="118"/>
    </row>
    <row r="124" spans="1:9" s="115" customFormat="1" x14ac:dyDescent="0.25">
      <c r="A124" s="175" t="s">
        <v>168</v>
      </c>
      <c r="B124" s="176"/>
      <c r="C124" s="176"/>
      <c r="D124" s="176"/>
      <c r="E124" s="176"/>
      <c r="F124" s="177"/>
      <c r="G124" s="119"/>
      <c r="H124" s="118"/>
      <c r="I124" s="118"/>
    </row>
    <row r="125" spans="1:9" s="115" customFormat="1" x14ac:dyDescent="0.25">
      <c r="A125" s="175" t="s">
        <v>169</v>
      </c>
      <c r="B125" s="176"/>
      <c r="C125" s="176"/>
      <c r="D125" s="176"/>
      <c r="E125" s="176"/>
      <c r="F125" s="177"/>
      <c r="G125" s="119"/>
      <c r="H125" s="118"/>
      <c r="I125" s="118"/>
    </row>
    <row r="126" spans="1:9" s="115" customFormat="1" x14ac:dyDescent="0.25">
      <c r="A126" s="175" t="s">
        <v>170</v>
      </c>
      <c r="B126" s="176"/>
      <c r="C126" s="176"/>
      <c r="D126" s="176"/>
      <c r="E126" s="176"/>
      <c r="F126" s="177"/>
      <c r="G126" s="119"/>
      <c r="H126" s="118"/>
      <c r="I126" s="118"/>
    </row>
    <row r="127" spans="1:9" s="115" customFormat="1" x14ac:dyDescent="0.25">
      <c r="A127" s="175" t="s">
        <v>171</v>
      </c>
      <c r="B127" s="176"/>
      <c r="C127" s="176"/>
      <c r="D127" s="176"/>
      <c r="E127" s="176"/>
      <c r="F127" s="177"/>
      <c r="G127" s="119"/>
      <c r="H127" s="118"/>
      <c r="I127" s="118"/>
    </row>
    <row r="128" spans="1:9" s="115" customFormat="1" x14ac:dyDescent="0.25">
      <c r="A128" s="175" t="s">
        <v>172</v>
      </c>
      <c r="B128" s="176"/>
      <c r="C128" s="176"/>
      <c r="D128" s="176"/>
      <c r="E128" s="176"/>
      <c r="F128" s="177"/>
      <c r="G128" s="119"/>
      <c r="H128" s="118"/>
      <c r="I128" s="118"/>
    </row>
    <row r="129" spans="1:9" s="115" customFormat="1" x14ac:dyDescent="0.25">
      <c r="A129" s="175" t="s">
        <v>173</v>
      </c>
      <c r="B129" s="176"/>
      <c r="C129" s="176"/>
      <c r="D129" s="176"/>
      <c r="E129" s="176"/>
      <c r="F129" s="177"/>
      <c r="G129" s="119"/>
      <c r="H129" s="118"/>
      <c r="I129" s="118"/>
    </row>
    <row r="130" spans="1:9" s="115" customFormat="1" x14ac:dyDescent="0.25">
      <c r="A130" s="175" t="s">
        <v>174</v>
      </c>
      <c r="B130" s="176"/>
      <c r="C130" s="176"/>
      <c r="D130" s="176"/>
      <c r="E130" s="176"/>
      <c r="F130" s="177"/>
      <c r="G130" s="119"/>
      <c r="H130" s="118"/>
      <c r="I130" s="118"/>
    </row>
    <row r="131" spans="1:9" s="115" customFormat="1" x14ac:dyDescent="0.25">
      <c r="A131" s="175" t="s">
        <v>175</v>
      </c>
      <c r="B131" s="176"/>
      <c r="C131" s="176"/>
      <c r="D131" s="176"/>
      <c r="E131" s="176"/>
      <c r="F131" s="177"/>
      <c r="G131" s="119"/>
      <c r="H131" s="118"/>
      <c r="I131" s="118"/>
    </row>
    <row r="132" spans="1:9" s="115" customFormat="1" x14ac:dyDescent="0.25">
      <c r="A132" s="175" t="s">
        <v>176</v>
      </c>
      <c r="B132" s="176"/>
      <c r="C132" s="176"/>
      <c r="D132" s="176"/>
      <c r="E132" s="176"/>
      <c r="F132" s="177"/>
      <c r="G132" s="119"/>
      <c r="H132" s="118"/>
      <c r="I132" s="118"/>
    </row>
    <row r="133" spans="1:9" s="115" customFormat="1" x14ac:dyDescent="0.25">
      <c r="A133" s="175" t="s">
        <v>177</v>
      </c>
      <c r="B133" s="176"/>
      <c r="C133" s="176"/>
      <c r="D133" s="176"/>
      <c r="E133" s="176"/>
      <c r="F133" s="177"/>
      <c r="G133" s="119"/>
      <c r="H133" s="118"/>
      <c r="I133" s="118"/>
    </row>
    <row r="134" spans="1:9" s="115" customFormat="1" x14ac:dyDescent="0.25">
      <c r="A134" s="175" t="s">
        <v>178</v>
      </c>
      <c r="B134" s="176"/>
      <c r="C134" s="176"/>
      <c r="D134" s="176"/>
      <c r="E134" s="176"/>
      <c r="F134" s="177"/>
      <c r="G134" s="119"/>
      <c r="H134" s="118"/>
      <c r="I134" s="118"/>
    </row>
    <row r="135" spans="1:9" s="115" customFormat="1" x14ac:dyDescent="0.25">
      <c r="A135" s="175" t="s">
        <v>179</v>
      </c>
      <c r="B135" s="176"/>
      <c r="C135" s="176"/>
      <c r="D135" s="176"/>
      <c r="E135" s="176"/>
      <c r="F135" s="177"/>
      <c r="G135" s="119"/>
      <c r="H135" s="118"/>
      <c r="I135" s="118"/>
    </row>
    <row r="136" spans="1:9" s="115" customFormat="1" x14ac:dyDescent="0.25">
      <c r="A136" s="175" t="s">
        <v>180</v>
      </c>
      <c r="B136" s="176"/>
      <c r="C136" s="176"/>
      <c r="D136" s="176"/>
      <c r="E136" s="176"/>
      <c r="F136" s="177"/>
      <c r="G136" s="119"/>
      <c r="H136" s="118"/>
      <c r="I136" s="118"/>
    </row>
    <row r="137" spans="1:9" s="115" customFormat="1" x14ac:dyDescent="0.25">
      <c r="A137" s="175" t="s">
        <v>181</v>
      </c>
      <c r="B137" s="176"/>
      <c r="C137" s="176"/>
      <c r="D137" s="176"/>
      <c r="E137" s="176"/>
      <c r="F137" s="177"/>
      <c r="G137" s="119"/>
      <c r="H137" s="118"/>
      <c r="I137" s="118"/>
    </row>
    <row r="138" spans="1:9" s="115" customFormat="1" x14ac:dyDescent="0.25">
      <c r="A138" s="175" t="s">
        <v>182</v>
      </c>
      <c r="B138" s="176"/>
      <c r="C138" s="176"/>
      <c r="D138" s="176"/>
      <c r="E138" s="176"/>
      <c r="F138" s="177"/>
      <c r="G138" s="119"/>
      <c r="H138" s="118"/>
      <c r="I138" s="118"/>
    </row>
    <row r="139" spans="1:9" s="115" customFormat="1" x14ac:dyDescent="0.25">
      <c r="A139" s="175" t="s">
        <v>183</v>
      </c>
      <c r="B139" s="176"/>
      <c r="C139" s="176"/>
      <c r="D139" s="176"/>
      <c r="E139" s="176"/>
      <c r="F139" s="177"/>
      <c r="G139" s="119"/>
      <c r="H139" s="118"/>
      <c r="I139" s="118"/>
    </row>
    <row r="140" spans="1:9" s="115" customFormat="1" x14ac:dyDescent="0.25">
      <c r="A140" s="175" t="s">
        <v>184</v>
      </c>
      <c r="B140" s="176"/>
      <c r="C140" s="176"/>
      <c r="D140" s="176"/>
      <c r="E140" s="176"/>
      <c r="F140" s="177"/>
      <c r="G140" s="119"/>
      <c r="H140" s="118"/>
      <c r="I140" s="118"/>
    </row>
    <row r="141" spans="1:9" s="115" customFormat="1" x14ac:dyDescent="0.25">
      <c r="A141" s="175" t="s">
        <v>185</v>
      </c>
      <c r="B141" s="176"/>
      <c r="C141" s="176"/>
      <c r="D141" s="176"/>
      <c r="E141" s="176"/>
      <c r="F141" s="177"/>
      <c r="G141" s="119"/>
      <c r="H141" s="118"/>
      <c r="I141" s="118"/>
    </row>
    <row r="142" spans="1:9" s="115" customFormat="1" x14ac:dyDescent="0.25">
      <c r="A142" s="175" t="s">
        <v>186</v>
      </c>
      <c r="B142" s="176"/>
      <c r="C142" s="176"/>
      <c r="D142" s="176"/>
      <c r="E142" s="176"/>
      <c r="F142" s="177"/>
      <c r="G142" s="119"/>
      <c r="H142" s="118"/>
      <c r="I142" s="118"/>
    </row>
    <row r="143" spans="1:9" s="115" customFormat="1" x14ac:dyDescent="0.25">
      <c r="A143" s="175" t="s">
        <v>187</v>
      </c>
      <c r="B143" s="176"/>
      <c r="C143" s="176"/>
      <c r="D143" s="176"/>
      <c r="E143" s="176"/>
      <c r="F143" s="177"/>
      <c r="G143" s="119"/>
      <c r="H143" s="118"/>
      <c r="I143" s="118"/>
    </row>
    <row r="144" spans="1:9" s="115" customFormat="1" x14ac:dyDescent="0.25">
      <c r="A144" s="175" t="s">
        <v>188</v>
      </c>
      <c r="B144" s="176"/>
      <c r="C144" s="176"/>
      <c r="D144" s="176"/>
      <c r="E144" s="176"/>
      <c r="F144" s="177"/>
      <c r="G144" s="119"/>
      <c r="H144" s="118"/>
      <c r="I144" s="118"/>
    </row>
    <row r="145" spans="1:9" s="115" customFormat="1" x14ac:dyDescent="0.25">
      <c r="A145" s="175" t="s">
        <v>189</v>
      </c>
      <c r="B145" s="176"/>
      <c r="C145" s="176"/>
      <c r="D145" s="176"/>
      <c r="E145" s="176"/>
      <c r="F145" s="177"/>
      <c r="G145" s="119"/>
      <c r="H145" s="118"/>
      <c r="I145" s="118"/>
    </row>
    <row r="146" spans="1:9" s="115" customFormat="1" x14ac:dyDescent="0.25">
      <c r="A146" s="175" t="s">
        <v>190</v>
      </c>
      <c r="B146" s="176"/>
      <c r="C146" s="176"/>
      <c r="D146" s="176"/>
      <c r="E146" s="176"/>
      <c r="F146" s="177"/>
      <c r="G146" s="119"/>
      <c r="H146" s="118"/>
      <c r="I146" s="118"/>
    </row>
    <row r="147" spans="1:9" s="115" customFormat="1" x14ac:dyDescent="0.25">
      <c r="A147" s="175" t="s">
        <v>191</v>
      </c>
      <c r="B147" s="176"/>
      <c r="C147" s="176"/>
      <c r="D147" s="176"/>
      <c r="E147" s="176"/>
      <c r="F147" s="177"/>
      <c r="G147" s="119"/>
      <c r="H147" s="118"/>
      <c r="I147" s="118"/>
    </row>
    <row r="148" spans="1:9" s="115" customFormat="1" x14ac:dyDescent="0.25">
      <c r="A148" s="175" t="s">
        <v>192</v>
      </c>
      <c r="B148" s="176"/>
      <c r="C148" s="176"/>
      <c r="D148" s="176"/>
      <c r="E148" s="176"/>
      <c r="F148" s="177"/>
      <c r="G148" s="119"/>
      <c r="H148" s="118"/>
      <c r="I148" s="118"/>
    </row>
    <row r="149" spans="1:9" s="115" customFormat="1" x14ac:dyDescent="0.25">
      <c r="A149" s="175" t="s">
        <v>193</v>
      </c>
      <c r="B149" s="176"/>
      <c r="C149" s="176"/>
      <c r="D149" s="176"/>
      <c r="E149" s="176"/>
      <c r="F149" s="177"/>
      <c r="G149" s="119"/>
      <c r="H149" s="118"/>
      <c r="I149" s="118"/>
    </row>
    <row r="150" spans="1:9" s="115" customFormat="1" x14ac:dyDescent="0.25">
      <c r="A150" s="175" t="s">
        <v>194</v>
      </c>
      <c r="B150" s="176"/>
      <c r="C150" s="176"/>
      <c r="D150" s="176"/>
      <c r="E150" s="176"/>
      <c r="F150" s="177"/>
      <c r="G150" s="117"/>
      <c r="H150" s="117"/>
      <c r="I150" s="117"/>
    </row>
    <row r="151" spans="1:9" s="115" customFormat="1" x14ac:dyDescent="0.25">
      <c r="A151" s="175" t="s">
        <v>195</v>
      </c>
      <c r="B151" s="176"/>
      <c r="C151" s="176"/>
      <c r="D151" s="176"/>
      <c r="E151" s="176"/>
      <c r="F151" s="177"/>
      <c r="G151" s="117"/>
      <c r="H151" s="117"/>
      <c r="I151" s="117"/>
    </row>
    <row r="152" spans="1:9" s="115" customFormat="1" x14ac:dyDescent="0.25">
      <c r="A152" s="175" t="s">
        <v>196</v>
      </c>
      <c r="B152" s="176"/>
      <c r="C152" s="176"/>
      <c r="D152" s="176"/>
      <c r="E152" s="176"/>
      <c r="F152" s="177"/>
      <c r="G152" s="117"/>
      <c r="H152" s="117"/>
      <c r="I152" s="117"/>
    </row>
    <row r="153" spans="1:9" s="115" customFormat="1" x14ac:dyDescent="0.25">
      <c r="A153" s="175" t="s">
        <v>197</v>
      </c>
      <c r="B153" s="176"/>
      <c r="C153" s="176"/>
      <c r="D153" s="176"/>
      <c r="E153" s="176"/>
      <c r="F153" s="177"/>
      <c r="G153" s="117"/>
      <c r="H153" s="117"/>
      <c r="I153" s="117"/>
    </row>
    <row r="154" spans="1:9" s="115" customFormat="1" x14ac:dyDescent="0.25">
      <c r="A154" s="175" t="s">
        <v>198</v>
      </c>
      <c r="B154" s="176"/>
      <c r="C154" s="176"/>
      <c r="D154" s="176"/>
      <c r="E154" s="176"/>
      <c r="F154" s="177"/>
      <c r="G154" s="117"/>
      <c r="H154" s="117"/>
      <c r="I154" s="117"/>
    </row>
    <row r="155" spans="1:9" s="115" customFormat="1" x14ac:dyDescent="0.25">
      <c r="A155" s="175" t="s">
        <v>199</v>
      </c>
      <c r="B155" s="176"/>
      <c r="C155" s="176"/>
      <c r="D155" s="176"/>
      <c r="E155" s="176"/>
      <c r="F155" s="177"/>
      <c r="G155" s="117"/>
      <c r="H155" s="117"/>
      <c r="I155" s="117"/>
    </row>
    <row r="156" spans="1:9" s="115" customFormat="1" x14ac:dyDescent="0.25">
      <c r="A156" s="175" t="s">
        <v>200</v>
      </c>
      <c r="B156" s="176"/>
      <c r="C156" s="176"/>
      <c r="D156" s="176"/>
      <c r="E156" s="176"/>
      <c r="F156" s="177"/>
      <c r="G156" s="117"/>
      <c r="H156" s="117"/>
      <c r="I156" s="117"/>
    </row>
    <row r="157" spans="1:9" s="115" customFormat="1" x14ac:dyDescent="0.25">
      <c r="A157" s="175" t="s">
        <v>201</v>
      </c>
      <c r="B157" s="176"/>
      <c r="C157" s="176"/>
      <c r="D157" s="176"/>
      <c r="E157" s="176"/>
      <c r="F157" s="177"/>
      <c r="G157" s="117"/>
      <c r="H157" s="117"/>
      <c r="I157" s="117"/>
    </row>
    <row r="158" spans="1:9" s="115" customFormat="1" x14ac:dyDescent="0.25">
      <c r="A158" s="175" t="s">
        <v>202</v>
      </c>
      <c r="B158" s="176"/>
      <c r="C158" s="176"/>
      <c r="D158" s="176"/>
      <c r="E158" s="176"/>
      <c r="F158" s="177"/>
      <c r="G158" s="117"/>
      <c r="H158" s="117"/>
      <c r="I158" s="117"/>
    </row>
    <row r="159" spans="1:9" s="115" customFormat="1" x14ac:dyDescent="0.25">
      <c r="A159" s="175" t="s">
        <v>203</v>
      </c>
      <c r="B159" s="176"/>
      <c r="C159" s="176"/>
      <c r="D159" s="176"/>
      <c r="E159" s="176"/>
      <c r="F159" s="177"/>
      <c r="G159" s="117"/>
      <c r="H159" s="117"/>
      <c r="I159" s="117"/>
    </row>
    <row r="160" spans="1:9" s="115" customFormat="1" x14ac:dyDescent="0.25">
      <c r="A160" s="175" t="s">
        <v>204</v>
      </c>
      <c r="B160" s="176"/>
      <c r="C160" s="176"/>
      <c r="D160" s="176"/>
      <c r="E160" s="176"/>
      <c r="F160" s="177"/>
      <c r="G160" s="117"/>
      <c r="H160" s="117"/>
      <c r="I160" s="117"/>
    </row>
    <row r="161" spans="1:9" s="115" customFormat="1" x14ac:dyDescent="0.25">
      <c r="A161" s="175" t="s">
        <v>205</v>
      </c>
      <c r="B161" s="176"/>
      <c r="C161" s="176"/>
      <c r="D161" s="176"/>
      <c r="E161" s="176"/>
      <c r="F161" s="177"/>
      <c r="G161" s="117"/>
      <c r="H161" s="117"/>
      <c r="I161" s="117"/>
    </row>
    <row r="162" spans="1:9" s="115" customFormat="1" x14ac:dyDescent="0.25">
      <c r="A162" s="175" t="s">
        <v>206</v>
      </c>
      <c r="B162" s="176"/>
      <c r="C162" s="176"/>
      <c r="D162" s="176"/>
      <c r="E162" s="176"/>
      <c r="F162" s="177"/>
      <c r="G162" s="117"/>
      <c r="H162" s="117"/>
      <c r="I162" s="117"/>
    </row>
    <row r="163" spans="1:9" s="115" customFormat="1" x14ac:dyDescent="0.25">
      <c r="A163" s="175" t="s">
        <v>207</v>
      </c>
      <c r="B163" s="176"/>
      <c r="C163" s="176"/>
      <c r="D163" s="176"/>
      <c r="E163" s="176"/>
      <c r="F163" s="177"/>
      <c r="G163" s="117"/>
      <c r="H163" s="117"/>
      <c r="I163" s="117"/>
    </row>
    <row r="164" spans="1:9" s="115" customFormat="1" x14ac:dyDescent="0.25">
      <c r="A164" s="175" t="s">
        <v>208</v>
      </c>
      <c r="B164" s="176"/>
      <c r="C164" s="176"/>
      <c r="D164" s="176"/>
      <c r="E164" s="176"/>
      <c r="F164" s="177"/>
      <c r="G164" s="117"/>
      <c r="H164" s="117"/>
      <c r="I164" s="117"/>
    </row>
    <row r="165" spans="1:9" s="115" customFormat="1" x14ac:dyDescent="0.25">
      <c r="A165" s="175" t="s">
        <v>209</v>
      </c>
      <c r="B165" s="176"/>
      <c r="C165" s="176"/>
      <c r="D165" s="176"/>
      <c r="E165" s="176"/>
      <c r="F165" s="177"/>
      <c r="G165" s="117"/>
      <c r="H165" s="117"/>
      <c r="I165" s="117"/>
    </row>
    <row r="166" spans="1:9" s="115" customFormat="1" x14ac:dyDescent="0.25">
      <c r="A166" s="175" t="s">
        <v>210</v>
      </c>
      <c r="B166" s="176"/>
      <c r="C166" s="176"/>
      <c r="D166" s="176"/>
      <c r="E166" s="176"/>
      <c r="F166" s="177"/>
      <c r="G166" s="117"/>
      <c r="H166" s="117"/>
      <c r="I166" s="117"/>
    </row>
    <row r="167" spans="1:9" s="115" customFormat="1" x14ac:dyDescent="0.25">
      <c r="A167" s="175" t="s">
        <v>211</v>
      </c>
      <c r="B167" s="176"/>
      <c r="C167" s="176"/>
      <c r="D167" s="176"/>
      <c r="E167" s="176"/>
      <c r="F167" s="177"/>
      <c r="G167" s="117"/>
      <c r="H167" s="117"/>
      <c r="I167" s="117"/>
    </row>
    <row r="168" spans="1:9" s="115" customFormat="1" x14ac:dyDescent="0.25">
      <c r="A168" s="175" t="s">
        <v>212</v>
      </c>
      <c r="B168" s="176"/>
      <c r="C168" s="176"/>
      <c r="D168" s="176"/>
      <c r="E168" s="176"/>
      <c r="F168" s="177"/>
      <c r="G168" s="117"/>
      <c r="H168" s="117"/>
      <c r="I168" s="117"/>
    </row>
    <row r="169" spans="1:9" s="115" customFormat="1" x14ac:dyDescent="0.25">
      <c r="A169" s="175" t="s">
        <v>213</v>
      </c>
      <c r="B169" s="176"/>
      <c r="C169" s="176"/>
      <c r="D169" s="176"/>
      <c r="E169" s="176"/>
      <c r="F169" s="177"/>
      <c r="G169" s="117"/>
      <c r="H169" s="117"/>
      <c r="I169" s="117"/>
    </row>
    <row r="170" spans="1:9" s="115" customFormat="1" x14ac:dyDescent="0.25">
      <c r="A170" s="109"/>
      <c r="B170" s="110"/>
      <c r="C170" s="110"/>
      <c r="D170" s="110"/>
      <c r="E170" s="110"/>
      <c r="F170" s="110"/>
      <c r="G170" s="117"/>
      <c r="H170" s="117"/>
      <c r="I170" s="117"/>
    </row>
    <row r="171" spans="1:9" s="115" customFormat="1" x14ac:dyDescent="0.25">
      <c r="A171" s="206" t="s">
        <v>389</v>
      </c>
      <c r="B171" s="206"/>
      <c r="C171" s="206"/>
      <c r="D171" s="206"/>
      <c r="E171" s="206"/>
      <c r="F171" s="206"/>
      <c r="G171" s="117"/>
      <c r="H171" s="117"/>
      <c r="I171" s="117"/>
    </row>
    <row r="172" spans="1:9" s="115" customFormat="1" x14ac:dyDescent="0.25">
      <c r="A172" s="206" t="s">
        <v>388</v>
      </c>
      <c r="B172" s="206"/>
      <c r="C172" s="206"/>
      <c r="D172" s="206"/>
      <c r="E172" s="206"/>
      <c r="F172" s="206"/>
      <c r="G172" s="117"/>
      <c r="H172" s="117"/>
      <c r="I172" s="117"/>
    </row>
    <row r="173" spans="1:9" s="115" customFormat="1" x14ac:dyDescent="0.25">
      <c r="A173" s="116" t="s">
        <v>399</v>
      </c>
      <c r="B173" s="56"/>
      <c r="C173" s="56"/>
      <c r="D173" s="56"/>
      <c r="E173" s="56"/>
      <c r="F173" s="56"/>
    </row>
    <row r="174" spans="1:9" s="115" customFormat="1" x14ac:dyDescent="0.25">
      <c r="A174" s="56"/>
      <c r="B174" s="56"/>
      <c r="C174" s="56"/>
      <c r="D174" s="56"/>
      <c r="E174" s="56"/>
      <c r="F174" s="56"/>
    </row>
    <row r="175" spans="1:9" s="115" customFormat="1" x14ac:dyDescent="0.25">
      <c r="A175" s="56" t="s">
        <v>400</v>
      </c>
      <c r="B175" s="56"/>
      <c r="C175" s="56"/>
      <c r="D175" s="56"/>
      <c r="E175" s="56"/>
      <c r="F175" s="56"/>
    </row>
    <row r="176" spans="1:9" s="115" customFormat="1" x14ac:dyDescent="0.25">
      <c r="A176" s="56"/>
      <c r="B176" s="56"/>
      <c r="C176" s="56"/>
      <c r="D176" s="56"/>
      <c r="E176" s="56"/>
      <c r="F176" s="56"/>
    </row>
    <row r="177" spans="1:6" s="115" customFormat="1" x14ac:dyDescent="0.25">
      <c r="A177" s="56"/>
      <c r="B177" s="56"/>
      <c r="C177" s="56"/>
      <c r="D177" s="56"/>
      <c r="E177" s="56"/>
      <c r="F177" s="56"/>
    </row>
    <row r="178" spans="1:6" s="115" customFormat="1" x14ac:dyDescent="0.25">
      <c r="A178" s="56"/>
      <c r="B178" s="56"/>
      <c r="C178" s="56"/>
      <c r="D178" s="56"/>
      <c r="E178" s="56"/>
      <c r="F178" s="56"/>
    </row>
    <row r="179" spans="1:6" s="115" customFormat="1" x14ac:dyDescent="0.25">
      <c r="A179" s="111" t="s">
        <v>401</v>
      </c>
      <c r="B179" s="56"/>
      <c r="C179" s="56"/>
      <c r="D179" s="56"/>
      <c r="E179" s="56"/>
      <c r="F179" s="56"/>
    </row>
    <row r="180" spans="1:6" s="115" customFormat="1" x14ac:dyDescent="0.25">
      <c r="A180" s="112" t="s">
        <v>10</v>
      </c>
      <c r="B180" s="56"/>
      <c r="C180" s="56"/>
      <c r="D180" s="56"/>
      <c r="E180" s="56"/>
      <c r="F180" s="56"/>
    </row>
    <row r="181" spans="1:6" s="115" customFormat="1" x14ac:dyDescent="0.25">
      <c r="A181" s="111" t="s">
        <v>235</v>
      </c>
      <c r="B181" s="56"/>
      <c r="C181" s="56"/>
      <c r="D181" s="56"/>
      <c r="E181" s="56"/>
      <c r="F181" s="56"/>
    </row>
    <row r="182" spans="1:6" s="115" customFormat="1" x14ac:dyDescent="0.25">
      <c r="A182" s="56"/>
      <c r="B182" s="56"/>
      <c r="C182" s="56"/>
      <c r="D182" s="56"/>
      <c r="E182" s="56"/>
      <c r="F182" s="56"/>
    </row>
  </sheetData>
  <mergeCells count="84">
    <mergeCell ref="A168:F168"/>
    <mergeCell ref="A169:F169"/>
    <mergeCell ref="A171:F171"/>
    <mergeCell ref="A172:F172"/>
    <mergeCell ref="A1:J1"/>
    <mergeCell ref="A2:J2"/>
    <mergeCell ref="A162:F162"/>
    <mergeCell ref="A163:F163"/>
    <mergeCell ref="A164:F164"/>
    <mergeCell ref="A165:F165"/>
    <mergeCell ref="A166:F166"/>
    <mergeCell ref="A167:F167"/>
    <mergeCell ref="A156:F156"/>
    <mergeCell ref="A157:F157"/>
    <mergeCell ref="A158:F158"/>
    <mergeCell ref="A159:F159"/>
    <mergeCell ref="A160:F160"/>
    <mergeCell ref="A161:F161"/>
    <mergeCell ref="A150:F150"/>
    <mergeCell ref="A151:F151"/>
    <mergeCell ref="A152:F152"/>
    <mergeCell ref="A153:F153"/>
    <mergeCell ref="A154:F154"/>
    <mergeCell ref="A155:F155"/>
    <mergeCell ref="A144:F144"/>
    <mergeCell ref="A145:F145"/>
    <mergeCell ref="A146:F146"/>
    <mergeCell ref="A147:F147"/>
    <mergeCell ref="A148:F148"/>
    <mergeCell ref="A149:F149"/>
    <mergeCell ref="A138:F138"/>
    <mergeCell ref="A139:F139"/>
    <mergeCell ref="A140:F140"/>
    <mergeCell ref="A141:F141"/>
    <mergeCell ref="A142:F142"/>
    <mergeCell ref="A143:F143"/>
    <mergeCell ref="A132:F132"/>
    <mergeCell ref="A133:F133"/>
    <mergeCell ref="A134:F134"/>
    <mergeCell ref="A135:F135"/>
    <mergeCell ref="A136:F136"/>
    <mergeCell ref="A137:F137"/>
    <mergeCell ref="A126:F126"/>
    <mergeCell ref="A127:F127"/>
    <mergeCell ref="A128:F128"/>
    <mergeCell ref="A129:F129"/>
    <mergeCell ref="A130:F130"/>
    <mergeCell ref="A131:F131"/>
    <mergeCell ref="A120:F120"/>
    <mergeCell ref="A121:F121"/>
    <mergeCell ref="A122:F122"/>
    <mergeCell ref="A123:F123"/>
    <mergeCell ref="A124:F124"/>
    <mergeCell ref="A125:F125"/>
    <mergeCell ref="A114:F114"/>
    <mergeCell ref="A115:F115"/>
    <mergeCell ref="A116:F116"/>
    <mergeCell ref="A117:F117"/>
    <mergeCell ref="A118:F118"/>
    <mergeCell ref="A119:F119"/>
    <mergeCell ref="A108:F108"/>
    <mergeCell ref="A109:F109"/>
    <mergeCell ref="A110:F110"/>
    <mergeCell ref="A111:F111"/>
    <mergeCell ref="A112:F112"/>
    <mergeCell ref="A113:F113"/>
    <mergeCell ref="A102:F102"/>
    <mergeCell ref="A103:F103"/>
    <mergeCell ref="A104:F104"/>
    <mergeCell ref="A105:F105"/>
    <mergeCell ref="A106:F106"/>
    <mergeCell ref="A107:F107"/>
    <mergeCell ref="A96:F96"/>
    <mergeCell ref="A97:F97"/>
    <mergeCell ref="A98:F98"/>
    <mergeCell ref="A99:F99"/>
    <mergeCell ref="A100:F100"/>
    <mergeCell ref="A101:F101"/>
    <mergeCell ref="B3:J3"/>
    <mergeCell ref="A4:J4"/>
    <mergeCell ref="A28:I28"/>
    <mergeCell ref="A42:I42"/>
    <mergeCell ref="A94:F94"/>
    <mergeCell ref="A95:F95"/>
  </mergeCells>
  <dataValidations count="4">
    <dataValidation type="list" allowBlank="1" sqref="B6:B13" xr:uid="{EB64BE69-BD62-43E7-8B9B-119DFF6DBE6A}">
      <formula1>"DAS,DAS-1,DAS-2,DAS-3,DAS-4,DAS-5,CAA-1,CAA-2,CAA-3,CAA-4,CAA-5"</formula1>
    </dataValidation>
    <dataValidation type="list" allowBlank="1" sqref="B30:B33" xr:uid="{7517BEA3-086A-4C06-9DE6-FCF45B7C9C96}">
      <formula1>"FDA,FDA-1,FDA-2,FDA-3,FDA-4"</formula1>
    </dataValidation>
    <dataValidation type="list" allowBlank="1" sqref="B44:B81" xr:uid="{19294120-1ECA-4073-9E72-8D1D4D4B4C97}">
      <formula1>"FGS-1,FGS-2,FGS-3,FGA-1,FGA-2,FGA-3"</formula1>
    </dataValidation>
    <dataValidation type="list" allowBlank="1" sqref="D44:D81 D30:D33 D6:D13" xr:uid="{E532C070-8A8A-4A9F-91D0-5AB4E18270EA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7690E-311A-4223-B807-6A22D2B38B0A}">
  <dimension ref="A1:AA177"/>
  <sheetViews>
    <sheetView workbookViewId="0">
      <selection activeCell="A2" sqref="A2:J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70.5703125" customWidth="1"/>
    <col min="7" max="7" width="15.7109375" customWidth="1"/>
    <col min="8" max="8" width="13.5703125" customWidth="1"/>
    <col min="9" max="9" width="15.28515625" customWidth="1"/>
    <col min="12" max="12" width="6.42578125" customWidth="1"/>
    <col min="13" max="13" width="15" customWidth="1"/>
    <col min="14" max="14" width="14.28515625" customWidth="1"/>
    <col min="15" max="15" width="12.5703125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369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1" t="s">
        <v>355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</row>
    <row r="7" spans="1:27" x14ac:dyDescent="0.25">
      <c r="A7" s="11" t="s">
        <v>22</v>
      </c>
      <c r="B7" s="5" t="s">
        <v>0</v>
      </c>
      <c r="C7" s="6" t="s">
        <v>23</v>
      </c>
      <c r="D7" s="6" t="s">
        <v>24</v>
      </c>
      <c r="E7" s="7">
        <v>1</v>
      </c>
      <c r="F7" s="11" t="s">
        <v>25</v>
      </c>
      <c r="G7" s="8">
        <v>0</v>
      </c>
      <c r="H7" s="8">
        <v>8903.2999999999993</v>
      </c>
      <c r="I7" s="8">
        <v>9249.0300000000007</v>
      </c>
    </row>
    <row r="8" spans="1:27" x14ac:dyDescent="0.25">
      <c r="A8" s="11" t="s">
        <v>26</v>
      </c>
      <c r="B8" s="5" t="s">
        <v>2</v>
      </c>
      <c r="C8" s="6" t="s">
        <v>27</v>
      </c>
      <c r="D8" s="6" t="s">
        <v>28</v>
      </c>
      <c r="E8" s="7">
        <v>1</v>
      </c>
      <c r="F8" s="11"/>
      <c r="G8" s="8"/>
      <c r="H8" s="8"/>
      <c r="I8" s="8"/>
    </row>
    <row r="9" spans="1:27" x14ac:dyDescent="0.25">
      <c r="A9" s="11" t="s">
        <v>38</v>
      </c>
      <c r="B9" s="6" t="s">
        <v>2</v>
      </c>
      <c r="C9" s="6" t="s">
        <v>39</v>
      </c>
      <c r="D9" s="6" t="s">
        <v>28</v>
      </c>
      <c r="E9" s="7">
        <v>1</v>
      </c>
      <c r="F9" s="11"/>
      <c r="G9" s="8"/>
      <c r="H9" s="8"/>
      <c r="I9" s="8"/>
    </row>
    <row r="10" spans="1:27" x14ac:dyDescent="0.25">
      <c r="A10" s="11" t="s">
        <v>36</v>
      </c>
      <c r="B10" s="5" t="s">
        <v>8</v>
      </c>
      <c r="C10" s="6" t="s">
        <v>37</v>
      </c>
      <c r="D10" s="6" t="s">
        <v>28</v>
      </c>
      <c r="E10" s="7">
        <v>1</v>
      </c>
      <c r="F10" s="11"/>
      <c r="G10" s="8"/>
      <c r="H10" s="8"/>
      <c r="I10" s="8"/>
    </row>
    <row r="11" spans="1:27" x14ac:dyDescent="0.25">
      <c r="A11" s="11" t="s">
        <v>267</v>
      </c>
      <c r="B11" s="5" t="s">
        <v>8</v>
      </c>
      <c r="C11" s="6" t="s">
        <v>35</v>
      </c>
      <c r="D11" s="6" t="s">
        <v>28</v>
      </c>
      <c r="E11" s="7">
        <v>1</v>
      </c>
      <c r="F11" s="11"/>
      <c r="G11" s="8"/>
      <c r="H11" s="8"/>
      <c r="I11" s="8"/>
    </row>
    <row r="12" spans="1:27" x14ac:dyDescent="0.25">
      <c r="A12" s="11" t="s">
        <v>268</v>
      </c>
      <c r="B12" s="5" t="s">
        <v>9</v>
      </c>
      <c r="C12" s="6" t="s">
        <v>30</v>
      </c>
      <c r="D12" s="6" t="s">
        <v>28</v>
      </c>
      <c r="E12" s="7">
        <v>1</v>
      </c>
      <c r="F12" s="11"/>
      <c r="G12" s="8"/>
      <c r="H12" s="8"/>
      <c r="I12" s="8"/>
    </row>
    <row r="13" spans="1:27" x14ac:dyDescent="0.25">
      <c r="A13" s="11" t="s">
        <v>31</v>
      </c>
      <c r="B13" s="5" t="s">
        <v>32</v>
      </c>
      <c r="C13" s="6" t="s">
        <v>33</v>
      </c>
      <c r="D13" s="6" t="s">
        <v>28</v>
      </c>
      <c r="E13" s="7">
        <v>1</v>
      </c>
      <c r="F13" s="11"/>
      <c r="G13" s="8"/>
      <c r="H13" s="8"/>
      <c r="I13" s="8"/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14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SUMIFS($E$13:$E$16,$B$13:$B$16,"DAS",$D$13:$D$16,"&lt;&gt;VAGO")</f>
        <v>0</v>
      </c>
      <c r="D15" s="16">
        <f ca="1">SUMIFS($E$13:$E$16,$B$13:$B$16,"DAS",$D$13:$D$16,"VAGO")</f>
        <v>0</v>
      </c>
      <c r="E15" s="16">
        <f t="shared" ref="E15:E25" ca="1" si="0">C15+D15</f>
        <v>0</v>
      </c>
      <c r="F15" s="17"/>
      <c r="G15" s="18">
        <f ca="1">SUMIF($B$13:$B$16,"DAS",$G$13:$G$16)</f>
        <v>0</v>
      </c>
      <c r="H15" s="18">
        <f ca="1">SUMIF($B$13:$B$16,"DAS",$H$13:$H$16)</f>
        <v>0</v>
      </c>
      <c r="I15" s="18">
        <f ca="1">SUMIF($B$13:$B$16,"DAS",$I$13:$I$16)</f>
        <v>0</v>
      </c>
    </row>
    <row r="16" spans="1:27" x14ac:dyDescent="0.25">
      <c r="A16" s="15" t="s">
        <v>50</v>
      </c>
      <c r="B16" s="7" t="s">
        <v>0</v>
      </c>
      <c r="C16" s="16">
        <v>1</v>
      </c>
      <c r="D16" s="16">
        <f ca="1">SUMIFS($E$13:$E$16,$B$13:$B$16,"DAS-1",$D$13:$D$16,"VAGO")</f>
        <v>0</v>
      </c>
      <c r="E16" s="16">
        <f t="shared" ca="1" si="0"/>
        <v>1</v>
      </c>
      <c r="F16" s="20"/>
      <c r="G16" s="18">
        <f ca="1">SUMIF($B$13:$B$16,"DAS-1",$G$13:$G$16)</f>
        <v>0</v>
      </c>
      <c r="H16" s="41">
        <v>8903.2999999999993</v>
      </c>
      <c r="I16" s="41">
        <v>9249.0300000000007</v>
      </c>
    </row>
    <row r="17" spans="1:9" x14ac:dyDescent="0.25">
      <c r="A17" s="15" t="s">
        <v>51</v>
      </c>
      <c r="B17" s="7" t="s">
        <v>52</v>
      </c>
      <c r="C17" s="16">
        <f>SUMIFS($E$13:$E$16,$B$13:$B$16,"DAS-2",$D$13:$D$16,"&lt;&gt;VAGO")</f>
        <v>0</v>
      </c>
      <c r="D17" s="16">
        <v>0</v>
      </c>
      <c r="E17" s="16">
        <f t="shared" si="0"/>
        <v>0</v>
      </c>
      <c r="F17" s="20"/>
      <c r="G17" s="18">
        <f>SUMIF($B$13:$B$16,"DAS-2",$G$13:$G$16)</f>
        <v>0</v>
      </c>
      <c r="H17" s="18">
        <f>SUMIF($B$13:$B$16,"DAS-2",$H$13:$H$16)</f>
        <v>0</v>
      </c>
      <c r="I17" s="18">
        <f>SUMIF($B$13:$B$16,"DAS-2",$I$13:$I$16)</f>
        <v>0</v>
      </c>
    </row>
    <row r="18" spans="1:9" x14ac:dyDescent="0.25">
      <c r="A18" s="15" t="s">
        <v>53</v>
      </c>
      <c r="B18" s="7" t="s">
        <v>54</v>
      </c>
      <c r="C18" s="16">
        <f>SUMIFS($E$13:$E$16,$B$13:$B$16,"DAS-3",$D$13:$D$16,"&lt;&gt;VAGO")</f>
        <v>0</v>
      </c>
      <c r="D18" s="16">
        <f>SUMIFS($E$13:$E$16,$B$13:$B$16,"DAS-3",$D$13:$D$16,"VAGO")</f>
        <v>0</v>
      </c>
      <c r="E18" s="16">
        <f t="shared" si="0"/>
        <v>0</v>
      </c>
      <c r="F18" s="20"/>
      <c r="G18" s="18">
        <f>SUMIF($B$13:$B$16,"DAS-3",$G$13:$G$16)</f>
        <v>0</v>
      </c>
      <c r="H18" s="18">
        <f>SUMIF($B$13:$B$16,"DAS-3",$H$13:$H$16)</f>
        <v>0</v>
      </c>
      <c r="I18" s="18">
        <f>SUMIF($B$13:$B$16,"DAS-3",$I$13:$I$16)</f>
        <v>0</v>
      </c>
    </row>
    <row r="19" spans="1:9" x14ac:dyDescent="0.25">
      <c r="A19" s="21" t="s">
        <v>55</v>
      </c>
      <c r="B19" s="7" t="s">
        <v>56</v>
      </c>
      <c r="C19" s="16">
        <f>SUMIFS($E$13:$E$16,$B$13:$B$16,"DAS-4",$D$13:$D$16,"&lt;&gt;VAGO")</f>
        <v>0</v>
      </c>
      <c r="D19" s="16">
        <f>SUMIFS($E$13:$E$16,$B$13:$B$16,"DAS-4",$D$13:$D$16,"VAGO")</f>
        <v>0</v>
      </c>
      <c r="E19" s="16">
        <f t="shared" si="0"/>
        <v>0</v>
      </c>
      <c r="F19" s="22"/>
      <c r="G19" s="18">
        <f>SUMIF($B$13:$B$16,"DAS-4",$G$13:$G$16)</f>
        <v>0</v>
      </c>
      <c r="H19" s="18">
        <f>SUMIF($B$13:$B$16,"DAS-4",$H$13:$H$16)</f>
        <v>0</v>
      </c>
      <c r="I19" s="18">
        <f>SUMIF($B$13:$B$16,"DAS-4",$I$13:$I$16)</f>
        <v>0</v>
      </c>
    </row>
    <row r="20" spans="1:9" x14ac:dyDescent="0.25">
      <c r="A20" s="21" t="s">
        <v>57</v>
      </c>
      <c r="B20" s="7" t="s">
        <v>2</v>
      </c>
      <c r="C20" s="16">
        <v>0</v>
      </c>
      <c r="D20" s="16">
        <v>2</v>
      </c>
      <c r="E20" s="16">
        <v>2</v>
      </c>
      <c r="F20" s="22"/>
      <c r="G20" s="18">
        <f>SUMIF($B$13:$B$16,"DAS-5",$G$13:$G$16)</f>
        <v>0</v>
      </c>
      <c r="H20" s="18">
        <f>SUMIF($B$13:$B$16,"DAS-5",$H$13:$H$16)</f>
        <v>0</v>
      </c>
      <c r="I20" s="18">
        <f>SUMIF($B$13:$B$16,"DAS-5",$I$13:$I$16)</f>
        <v>0</v>
      </c>
    </row>
    <row r="21" spans="1:9" x14ac:dyDescent="0.25">
      <c r="A21" s="21" t="s">
        <v>58</v>
      </c>
      <c r="B21" s="7" t="s">
        <v>59</v>
      </c>
      <c r="C21" s="16">
        <f>SUMIFS($E$13:$E$16,$B$13:$B$16,"CAA-1",$D$13:$D$16,"&lt;&gt;VAGO")</f>
        <v>0</v>
      </c>
      <c r="D21" s="16">
        <f>SUMIFS($E$13:$E$16,$B$13:$B$16,"CAA-1",$D$13:$D$16,"VAGO")</f>
        <v>0</v>
      </c>
      <c r="E21" s="16">
        <f t="shared" si="0"/>
        <v>0</v>
      </c>
      <c r="F21" s="22"/>
      <c r="G21" s="18">
        <f>SUMIF($B$13:$B$16,"CAA-1",$G$13:$G$16)</f>
        <v>0</v>
      </c>
      <c r="H21" s="18">
        <f>SUMIF($B$13:$B$16,"CAA-1",$H$13:$H$16)</f>
        <v>0</v>
      </c>
      <c r="I21" s="18">
        <f>SUMIF($B$13:$B$16,"CAA-1",$I$13:$I$16)</f>
        <v>0</v>
      </c>
    </row>
    <row r="22" spans="1:9" x14ac:dyDescent="0.25">
      <c r="A22" s="21" t="s">
        <v>60</v>
      </c>
      <c r="B22" s="7" t="s">
        <v>8</v>
      </c>
      <c r="C22" s="16">
        <v>0</v>
      </c>
      <c r="D22" s="16">
        <v>2</v>
      </c>
      <c r="E22" s="16">
        <v>2</v>
      </c>
      <c r="F22" s="22"/>
      <c r="G22" s="18">
        <f>SUMIF($B$13:$B$16,"CAA-2",$G$13:$G$16)</f>
        <v>0</v>
      </c>
      <c r="H22" s="18">
        <f>SUMIF($B$13:$B$16,"CAA-2",$H$13:$H$16)</f>
        <v>0</v>
      </c>
      <c r="I22" s="18">
        <f>SUMIF($B$13:$B$16,"CAA-2",$I$13:$I$16)</f>
        <v>0</v>
      </c>
    </row>
    <row r="23" spans="1:9" x14ac:dyDescent="0.25">
      <c r="A23" s="21" t="s">
        <v>61</v>
      </c>
      <c r="B23" s="7" t="s">
        <v>9</v>
      </c>
      <c r="C23" s="16">
        <v>0</v>
      </c>
      <c r="D23" s="16">
        <v>1</v>
      </c>
      <c r="E23" s="16">
        <f t="shared" si="0"/>
        <v>1</v>
      </c>
      <c r="F23" s="20" t="s">
        <v>269</v>
      </c>
      <c r="G23" s="18">
        <f>SUMIF($B$13:$B$16,"CAA-3",$G$13:$G$16)</f>
        <v>0</v>
      </c>
      <c r="H23" s="18">
        <f>SUMIF($B$13:$B$16,"CAA-3",$H$13:$H$16)</f>
        <v>0</v>
      </c>
      <c r="I23" s="18">
        <f>SUMIF($B$13:$B$16,"CAA-3",$I$13:$I$16)</f>
        <v>0</v>
      </c>
    </row>
    <row r="24" spans="1:9" x14ac:dyDescent="0.25">
      <c r="A24" s="21" t="s">
        <v>62</v>
      </c>
      <c r="B24" s="7" t="s">
        <v>32</v>
      </c>
      <c r="C24" s="16">
        <v>0</v>
      </c>
      <c r="D24" s="16">
        <v>1</v>
      </c>
      <c r="E24" s="16">
        <f t="shared" si="0"/>
        <v>1</v>
      </c>
      <c r="F24" s="20"/>
      <c r="G24" s="18">
        <f>SUMIF($B$13:$B$16,"CAA-4",$G$13:$G$16)</f>
        <v>0</v>
      </c>
      <c r="H24" s="18">
        <f>SUMIF($B$13:$B$16,"CAA-4",$H$13:$H$16)</f>
        <v>0</v>
      </c>
      <c r="I24" s="18">
        <f>SUMIF($B$13:$B$16,"CAA-4",$I$13:$I$16)</f>
        <v>0</v>
      </c>
    </row>
    <row r="25" spans="1:9" x14ac:dyDescent="0.25">
      <c r="A25" s="21" t="s">
        <v>63</v>
      </c>
      <c r="B25" s="7" t="s">
        <v>64</v>
      </c>
      <c r="C25" s="16">
        <f>SUMIFS($E$13:$E$16,$B$13:$B$16,"CAA-5",$D$13:$D$16,"&lt;&gt;VAGO")</f>
        <v>0</v>
      </c>
      <c r="D25" s="16">
        <f>SUMIFS($E$13:$E$16,$B$13:$B$16,"CAA-5",$D$13:$D$16,"VAGO")</f>
        <v>0</v>
      </c>
      <c r="E25" s="16">
        <f t="shared" si="0"/>
        <v>0</v>
      </c>
      <c r="F25" s="20"/>
      <c r="G25" s="18">
        <f>SUMIF($B$13:$B$16,"CAA-5",$G$13:$G$16)</f>
        <v>0</v>
      </c>
      <c r="H25" s="18">
        <f>SUMIF($B$13:$B$16,"CAA-5",$H$13:$H$16)</f>
        <v>0</v>
      </c>
      <c r="I25" s="18">
        <f>SUMIF($B$13:$B$16,"CAA-5",$I$13:$I$16)</f>
        <v>0</v>
      </c>
    </row>
    <row r="26" spans="1:9" x14ac:dyDescent="0.25">
      <c r="A26" s="12" t="s">
        <v>65</v>
      </c>
      <c r="B26" s="14"/>
      <c r="C26" s="13">
        <v>1</v>
      </c>
      <c r="D26" s="13">
        <v>6</v>
      </c>
      <c r="E26" s="13">
        <f ca="1">SUM(E15:E25)</f>
        <v>7</v>
      </c>
      <c r="F26" s="14"/>
      <c r="G26" s="23">
        <f ca="1">SUM(G15:G25)</f>
        <v>0</v>
      </c>
      <c r="H26" s="23">
        <f ca="1">SUM(H15:H25)</f>
        <v>12366.33</v>
      </c>
      <c r="I26" s="23">
        <f ca="1">SUM(I15:I25)</f>
        <v>23521.24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x14ac:dyDescent="0.25">
      <c r="A30" s="33" t="s">
        <v>81</v>
      </c>
      <c r="B30" s="26" t="s">
        <v>3</v>
      </c>
      <c r="C30" s="6" t="s">
        <v>35</v>
      </c>
      <c r="D30" s="6" t="s">
        <v>24</v>
      </c>
      <c r="E30" s="7">
        <v>1</v>
      </c>
      <c r="G30" s="18">
        <f ca="1">SUMIF($B$13:$B$16,"DAS",$G$13:$G$16)</f>
        <v>0</v>
      </c>
      <c r="H30" s="18">
        <f ca="1">SUMIF($B$13:$B$16,"DAS",$H$13:$H$16)</f>
        <v>0</v>
      </c>
      <c r="I30" s="18">
        <f ca="1">SUMIF($B$13:$B$16,"DAS",$I$13:$I$16)</f>
        <v>0</v>
      </c>
    </row>
    <row r="31" spans="1:9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/>
      <c r="G31" s="18">
        <f ca="1">SUMIF($B$13:$B$16,"DAS",$G$13:$G$16)</f>
        <v>0</v>
      </c>
      <c r="H31" s="18">
        <f ca="1">SUMIF($B$13:$B$16,"DAS",$H$13:$H$16)</f>
        <v>0</v>
      </c>
      <c r="I31" s="18">
        <f ca="1">SUMIF($B$13:$B$16,"DAS",$I$13:$I$16)</f>
        <v>0</v>
      </c>
    </row>
    <row r="32" spans="1:9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/>
      <c r="G32" s="18">
        <f ca="1">SUMIF($B$13:$B$16,"DAS",$G$13:$G$16)</f>
        <v>0</v>
      </c>
      <c r="H32" s="18">
        <f ca="1">SUMIF($B$13:$B$16,"DAS",$H$13:$H$16)</f>
        <v>0</v>
      </c>
      <c r="I32" s="18">
        <f ca="1">SUMIF($B$13:$B$16,"DAS",$I$13:$I$16)</f>
        <v>0</v>
      </c>
    </row>
    <row r="33" spans="1:15" ht="15" customHeight="1" x14ac:dyDescent="0.25">
      <c r="A33" s="33" t="s">
        <v>76</v>
      </c>
      <c r="B33" s="26" t="s">
        <v>1</v>
      </c>
      <c r="C33" s="6" t="s">
        <v>35</v>
      </c>
      <c r="D33" s="6" t="s">
        <v>24</v>
      </c>
      <c r="E33" s="7">
        <v>1</v>
      </c>
      <c r="F33" s="37"/>
      <c r="G33" s="18">
        <f ca="1">SUMIF($B$13:$B$16,"DAS",$G$13:$G$16)</f>
        <v>0</v>
      </c>
      <c r="H33" s="18">
        <f ca="1">SUMIF($B$13:$B$16,"DAS",$H$13:$H$16)</f>
        <v>0</v>
      </c>
      <c r="I33" s="18">
        <f ca="1">SUMIF($B$13:$B$16,"DAS",$I$13:$I$16)</f>
        <v>0</v>
      </c>
    </row>
    <row r="34" spans="1:15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15" x14ac:dyDescent="0.25">
      <c r="A35" s="15" t="s">
        <v>90</v>
      </c>
      <c r="B35" s="28" t="s">
        <v>91</v>
      </c>
      <c r="C35" s="16">
        <f ca="1">SUMIFS($E$30:$E$36,$B$30:$B$36,"FDA",$D$30:$D$36,"&lt;&gt;VAGO")</f>
        <v>0</v>
      </c>
      <c r="D35" s="16">
        <f ca="1">SUMIFS($E$30:$E$36,$B$30:$B$36,"FDA",$D$30:$D$36,"VAGO")</f>
        <v>0</v>
      </c>
      <c r="E35" s="16">
        <f t="shared" ref="E35:E39" ca="1" si="1">C35+D35</f>
        <v>0</v>
      </c>
      <c r="F35" s="17"/>
      <c r="G35" s="9">
        <f ca="1">SUMIF($B$30:$B$36,"FDA",$G$30:$G$36)</f>
        <v>0</v>
      </c>
      <c r="H35" s="9">
        <f ca="1">SUMIF($B$30:$B$36,"FDA",$H$30:$H$36)</f>
        <v>0</v>
      </c>
      <c r="I35" s="9">
        <f ca="1">SUMIF($B$30:$B$36,"FDA",$I$30:$I$36)</f>
        <v>0</v>
      </c>
    </row>
    <row r="36" spans="1:15" x14ac:dyDescent="0.25">
      <c r="A36" s="15" t="s">
        <v>92</v>
      </c>
      <c r="B36" s="28" t="s">
        <v>93</v>
      </c>
      <c r="C36" s="16">
        <f ca="1">SUMIFS($E$30:$E$36,$B$30:$B$36,"FDA-1",$D$30:$D$36,"&lt;&gt;VAGO")</f>
        <v>0</v>
      </c>
      <c r="D36" s="16">
        <f ca="1">SUMIFS($E$30:$E$36,$B$30:$B$36,"FDA-1",$D$30:$D$36,"VAGO")</f>
        <v>0</v>
      </c>
      <c r="E36" s="16">
        <f t="shared" ca="1" si="1"/>
        <v>0</v>
      </c>
      <c r="F36" s="17"/>
      <c r="G36" s="9">
        <f ca="1">SUMIF($B$30:$B$36,"FDA-1",$G$30:$G$36)</f>
        <v>0</v>
      </c>
      <c r="H36" s="9">
        <f ca="1">SUMIF($B$30:$B$36,"FDA-1",$H$30:$H$36)</f>
        <v>0</v>
      </c>
      <c r="I36" s="9">
        <f ca="1">SUMIF($B$30:$B$36,"FDA-1",$I$30:$I$36)</f>
        <v>0</v>
      </c>
    </row>
    <row r="37" spans="1:15" x14ac:dyDescent="0.25">
      <c r="A37" s="15" t="s">
        <v>94</v>
      </c>
      <c r="B37" s="28" t="s">
        <v>95</v>
      </c>
      <c r="C37" s="16">
        <f>SUMIFS($E$30:$E$36,$B$30:$B$36,"FDA-2",$D$30:$D$36,"&lt;&gt;VAGO")</f>
        <v>0</v>
      </c>
      <c r="D37" s="16">
        <f>SUMIFS($E$30:$E$36,$B$30:$B$36,"FDA-2",$D$30:$D$36,"VAGO")</f>
        <v>0</v>
      </c>
      <c r="E37" s="16">
        <f t="shared" si="1"/>
        <v>0</v>
      </c>
      <c r="F37" s="20"/>
      <c r="G37" s="9">
        <f>SUMIF($B$30:$B$36,"FDA-2",$G$30:$G$36)</f>
        <v>0</v>
      </c>
      <c r="H37" s="9">
        <f>SUMIF($B$30:$B$36,"FDA-2",$H$30:$H$36)</f>
        <v>0</v>
      </c>
      <c r="I37" s="9">
        <f>SUMIF($B$30:$B$36,"FDA-2",$I$30:$I$36)</f>
        <v>0</v>
      </c>
    </row>
    <row r="38" spans="1:15" x14ac:dyDescent="0.25">
      <c r="A38" s="15" t="s">
        <v>96</v>
      </c>
      <c r="B38" s="28" t="s">
        <v>3</v>
      </c>
      <c r="C38" s="16">
        <f>SUMIFS($E$30:$E$36,$B$30:$B$36,"FDA-3",$D$30:$D$36,"&lt;&gt;VAGO")</f>
        <v>3</v>
      </c>
      <c r="D38" s="16">
        <f>SUMIFS($E$30:$E$36,$B$30:$B$36,"FDA-3",$D$30:$D$36,"VAGO")</f>
        <v>0</v>
      </c>
      <c r="E38" s="16">
        <f t="shared" si="1"/>
        <v>3</v>
      </c>
      <c r="F38" s="22"/>
      <c r="G38" s="9">
        <f ca="1">SUMIF($B$30:$B$36,"FDA-3",$G$30:$G$36)</f>
        <v>0</v>
      </c>
      <c r="H38" s="9">
        <f ca="1">SUMIF($B$30:$B$36,"FDA-3",$H$30:$H$36)</f>
        <v>0</v>
      </c>
      <c r="I38" s="9">
        <f ca="1">SUMIF($B$30:$B$36,"FDA-3",$I$30:$I$36)</f>
        <v>0</v>
      </c>
    </row>
    <row r="39" spans="1:15" x14ac:dyDescent="0.25">
      <c r="A39" s="15" t="s">
        <v>97</v>
      </c>
      <c r="B39" s="28" t="s">
        <v>1</v>
      </c>
      <c r="C39" s="16">
        <f>SUMIFS($E$30:$E$36,$B$30:$B$36,"FDA-4",$D$30:$D$36,"&lt;&gt;VAGO")</f>
        <v>1</v>
      </c>
      <c r="D39" s="16">
        <f>SUMIFS($E$30:$E$36,$B$30:$B$36,"FDA-4",$D$30:$D$36,"VAGO")</f>
        <v>0</v>
      </c>
      <c r="E39" s="16">
        <f t="shared" si="1"/>
        <v>1</v>
      </c>
      <c r="F39" s="20"/>
      <c r="G39" s="9">
        <f ca="1">SUMIF($B$30:$B$36,"FDA-4",$G$30:$G$36)</f>
        <v>0</v>
      </c>
      <c r="H39" s="9">
        <f ca="1">SUMIF($B$30:$B$36,"FDA-4",$H$30:$H$36)</f>
        <v>0</v>
      </c>
      <c r="I39" s="9">
        <f ca="1">SUMIF($B$30:$B$36,"FDA-4",$I$30:$I$36)</f>
        <v>0</v>
      </c>
    </row>
    <row r="40" spans="1:15" ht="30" x14ac:dyDescent="0.25">
      <c r="A40" s="12" t="s">
        <v>98</v>
      </c>
      <c r="B40" s="27"/>
      <c r="C40" s="13">
        <f t="shared" ref="C40:E40" ca="1" si="2">SUM(C36:C39)</f>
        <v>4</v>
      </c>
      <c r="D40" s="13">
        <f t="shared" ca="1" si="2"/>
        <v>0</v>
      </c>
      <c r="E40" s="13">
        <f t="shared" ca="1" si="2"/>
        <v>4</v>
      </c>
      <c r="F40" s="27"/>
      <c r="G40" s="29">
        <f t="shared" ref="G40:I40" ca="1" si="3">SUM(G35:G39)</f>
        <v>28238.09</v>
      </c>
      <c r="H40" s="29">
        <f t="shared" ca="1" si="3"/>
        <v>13820.380000000001</v>
      </c>
      <c r="I40" s="29">
        <f t="shared" ca="1" si="3"/>
        <v>42058.47</v>
      </c>
    </row>
    <row r="41" spans="1:15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15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15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15" s="47" customFormat="1" x14ac:dyDescent="0.25">
      <c r="A44" s="42" t="s">
        <v>270</v>
      </c>
      <c r="B44" s="43" t="s">
        <v>4</v>
      </c>
      <c r="C44" s="44"/>
      <c r="D44" s="44" t="s">
        <v>24</v>
      </c>
      <c r="E44" s="45">
        <v>1</v>
      </c>
      <c r="F44" s="46" t="s">
        <v>271</v>
      </c>
      <c r="G44" s="8">
        <v>5933.35</v>
      </c>
      <c r="H44" s="8">
        <v>1392.8</v>
      </c>
      <c r="I44" s="9">
        <f>SUM(G44:H44)</f>
        <v>7326.1500000000005</v>
      </c>
      <c r="N44" s="48"/>
      <c r="O44"/>
    </row>
    <row r="45" spans="1:15" s="47" customFormat="1" x14ac:dyDescent="0.25">
      <c r="A45" s="42" t="s">
        <v>272</v>
      </c>
      <c r="B45" s="43" t="s">
        <v>4</v>
      </c>
      <c r="C45" s="44"/>
      <c r="D45" s="44" t="s">
        <v>24</v>
      </c>
      <c r="E45" s="45">
        <v>1</v>
      </c>
      <c r="F45" s="33" t="s">
        <v>222</v>
      </c>
      <c r="G45" s="8">
        <v>5675.13</v>
      </c>
      <c r="H45" s="8">
        <v>1392.8</v>
      </c>
      <c r="I45" s="9">
        <v>7067.93</v>
      </c>
      <c r="N45" s="48"/>
      <c r="O45"/>
    </row>
    <row r="46" spans="1:15" x14ac:dyDescent="0.25">
      <c r="A46" s="31" t="s">
        <v>236</v>
      </c>
      <c r="B46" s="32" t="s">
        <v>4</v>
      </c>
      <c r="C46" s="32"/>
      <c r="D46" s="6" t="s">
        <v>24</v>
      </c>
      <c r="E46" s="7">
        <v>1</v>
      </c>
      <c r="F46" s="31" t="s">
        <v>218</v>
      </c>
      <c r="G46" s="8">
        <v>8075.56</v>
      </c>
      <c r="H46" s="8">
        <v>1392.8</v>
      </c>
      <c r="I46" s="9">
        <f>SUM(G46:H46)</f>
        <v>9468.36</v>
      </c>
    </row>
    <row r="47" spans="1:15" x14ac:dyDescent="0.25">
      <c r="A47" s="33" t="s">
        <v>237</v>
      </c>
      <c r="B47" s="32" t="s">
        <v>4</v>
      </c>
      <c r="C47" s="6"/>
      <c r="D47" s="6" t="s">
        <v>24</v>
      </c>
      <c r="E47" s="7">
        <v>1</v>
      </c>
      <c r="F47" s="33" t="s">
        <v>231</v>
      </c>
      <c r="G47" s="8">
        <v>7691</v>
      </c>
      <c r="H47" s="8">
        <v>1392.8</v>
      </c>
      <c r="I47" s="9">
        <f t="shared" ref="I47:I80" si="4">SUM(G47:H47)</f>
        <v>9083.7999999999993</v>
      </c>
    </row>
    <row r="48" spans="1:15" x14ac:dyDescent="0.25">
      <c r="A48" s="33" t="s">
        <v>238</v>
      </c>
      <c r="B48" s="32" t="s">
        <v>4</v>
      </c>
      <c r="C48" s="6"/>
      <c r="D48" s="6" t="s">
        <v>24</v>
      </c>
      <c r="E48" s="7">
        <v>1</v>
      </c>
      <c r="F48" s="33" t="s">
        <v>214</v>
      </c>
      <c r="G48" s="8">
        <v>8075.56</v>
      </c>
      <c r="H48" s="8">
        <v>1392.8</v>
      </c>
      <c r="I48" s="9">
        <f t="shared" si="4"/>
        <v>9468.36</v>
      </c>
    </row>
    <row r="49" spans="1:9" x14ac:dyDescent="0.25">
      <c r="A49" s="33" t="s">
        <v>239</v>
      </c>
      <c r="B49" s="32" t="s">
        <v>4</v>
      </c>
      <c r="C49" s="6"/>
      <c r="D49" s="6" t="s">
        <v>24</v>
      </c>
      <c r="E49" s="7">
        <v>1</v>
      </c>
      <c r="F49" s="33" t="s">
        <v>240</v>
      </c>
      <c r="G49" s="8">
        <v>7691</v>
      </c>
      <c r="H49" s="8">
        <v>1392.8</v>
      </c>
      <c r="I49" s="9">
        <f t="shared" si="4"/>
        <v>9083.7999999999993</v>
      </c>
    </row>
    <row r="50" spans="1:9" x14ac:dyDescent="0.25">
      <c r="A50" s="33" t="s">
        <v>241</v>
      </c>
      <c r="B50" s="32" t="s">
        <v>4</v>
      </c>
      <c r="C50" s="6"/>
      <c r="D50" s="6" t="s">
        <v>24</v>
      </c>
      <c r="E50" s="7">
        <v>1</v>
      </c>
      <c r="F50" s="33" t="s">
        <v>109</v>
      </c>
      <c r="G50" s="8">
        <v>8299.11</v>
      </c>
      <c r="H50" s="8">
        <v>1392.8</v>
      </c>
      <c r="I50" s="9">
        <f t="shared" si="4"/>
        <v>9691.91</v>
      </c>
    </row>
    <row r="51" spans="1:9" x14ac:dyDescent="0.25">
      <c r="A51" s="33" t="s">
        <v>242</v>
      </c>
      <c r="B51" s="32" t="s">
        <v>4</v>
      </c>
      <c r="C51" s="6"/>
      <c r="D51" s="6" t="s">
        <v>24</v>
      </c>
      <c r="E51" s="7">
        <v>1</v>
      </c>
      <c r="F51" s="33" t="s">
        <v>110</v>
      </c>
      <c r="G51" s="8">
        <v>8075.56</v>
      </c>
      <c r="H51" s="8">
        <v>1392.8</v>
      </c>
      <c r="I51" s="9">
        <f t="shared" si="4"/>
        <v>9468.36</v>
      </c>
    </row>
    <row r="52" spans="1:9" x14ac:dyDescent="0.25">
      <c r="A52" s="33" t="s">
        <v>243</v>
      </c>
      <c r="B52" s="32" t="s">
        <v>4</v>
      </c>
      <c r="C52" s="6"/>
      <c r="D52" s="6" t="s">
        <v>24</v>
      </c>
      <c r="E52" s="7">
        <v>1</v>
      </c>
      <c r="F52" s="33" t="s">
        <v>111</v>
      </c>
      <c r="G52" s="8">
        <v>7691</v>
      </c>
      <c r="H52" s="8">
        <v>1392.8</v>
      </c>
      <c r="I52" s="9">
        <f t="shared" si="4"/>
        <v>9083.7999999999993</v>
      </c>
    </row>
    <row r="53" spans="1:9" x14ac:dyDescent="0.25">
      <c r="A53" s="33" t="s">
        <v>244</v>
      </c>
      <c r="B53" s="32" t="s">
        <v>4</v>
      </c>
      <c r="C53" s="6"/>
      <c r="D53" s="6" t="s">
        <v>24</v>
      </c>
      <c r="E53" s="7">
        <v>1</v>
      </c>
      <c r="F53" s="33" t="s">
        <v>215</v>
      </c>
      <c r="G53" s="8">
        <v>7691</v>
      </c>
      <c r="H53" s="8">
        <v>1392.8</v>
      </c>
      <c r="I53" s="9">
        <f t="shared" si="4"/>
        <v>9083.7999999999993</v>
      </c>
    </row>
    <row r="54" spans="1:9" x14ac:dyDescent="0.25">
      <c r="A54" s="33" t="s">
        <v>245</v>
      </c>
      <c r="B54" s="32" t="s">
        <v>4</v>
      </c>
      <c r="C54" s="6"/>
      <c r="D54" s="6" t="s">
        <v>24</v>
      </c>
      <c r="E54" s="7">
        <v>1</v>
      </c>
      <c r="F54" s="33" t="s">
        <v>216</v>
      </c>
      <c r="G54" s="8">
        <v>8075.56</v>
      </c>
      <c r="H54" s="8">
        <v>1392.8</v>
      </c>
      <c r="I54" s="9">
        <f t="shared" si="4"/>
        <v>9468.36</v>
      </c>
    </row>
    <row r="55" spans="1:9" x14ac:dyDescent="0.25">
      <c r="A55" s="33" t="s">
        <v>246</v>
      </c>
      <c r="B55" s="32" t="s">
        <v>4</v>
      </c>
      <c r="C55" s="6"/>
      <c r="D55" s="6" t="s">
        <v>24</v>
      </c>
      <c r="E55" s="7">
        <v>1</v>
      </c>
      <c r="F55" s="33" t="s">
        <v>112</v>
      </c>
      <c r="G55" s="8">
        <v>8075.56</v>
      </c>
      <c r="H55" s="8">
        <v>1392.8</v>
      </c>
      <c r="I55" s="9">
        <f t="shared" si="4"/>
        <v>9468.36</v>
      </c>
    </row>
    <row r="56" spans="1:9" x14ac:dyDescent="0.25">
      <c r="A56" s="33" t="s">
        <v>247</v>
      </c>
      <c r="B56" s="32" t="s">
        <v>4</v>
      </c>
      <c r="C56" s="6"/>
      <c r="D56" s="6" t="s">
        <v>24</v>
      </c>
      <c r="E56" s="7">
        <v>1</v>
      </c>
      <c r="F56" s="33" t="s">
        <v>219</v>
      </c>
      <c r="G56" s="8">
        <v>7691</v>
      </c>
      <c r="H56" s="8">
        <v>1392.8</v>
      </c>
      <c r="I56" s="9">
        <f t="shared" si="4"/>
        <v>9083.7999999999993</v>
      </c>
    </row>
    <row r="57" spans="1:9" x14ac:dyDescent="0.25">
      <c r="A57" s="33" t="s">
        <v>248</v>
      </c>
      <c r="B57" s="32" t="s">
        <v>4</v>
      </c>
      <c r="C57" s="6"/>
      <c r="D57" s="6" t="s">
        <v>24</v>
      </c>
      <c r="E57" s="7">
        <v>1</v>
      </c>
      <c r="F57" s="33" t="s">
        <v>113</v>
      </c>
      <c r="G57" s="8">
        <v>2295.89</v>
      </c>
      <c r="H57" s="8">
        <v>1392.8</v>
      </c>
      <c r="I57" s="9">
        <f t="shared" si="4"/>
        <v>3688.6899999999996</v>
      </c>
    </row>
    <row r="58" spans="1:9" x14ac:dyDescent="0.25">
      <c r="A58" s="33" t="s">
        <v>249</v>
      </c>
      <c r="B58" s="32" t="s">
        <v>4</v>
      </c>
      <c r="C58" s="6"/>
      <c r="D58" s="6" t="s">
        <v>24</v>
      </c>
      <c r="E58" s="7">
        <v>1</v>
      </c>
      <c r="F58" s="33" t="s">
        <v>114</v>
      </c>
      <c r="G58" s="8">
        <v>5125.45</v>
      </c>
      <c r="H58" s="8">
        <v>1392.8</v>
      </c>
      <c r="I58" s="9">
        <f>SUM(G58:H58)</f>
        <v>6518.25</v>
      </c>
    </row>
    <row r="59" spans="1:9" x14ac:dyDescent="0.25">
      <c r="A59" s="33" t="s">
        <v>250</v>
      </c>
      <c r="B59" s="32" t="s">
        <v>4</v>
      </c>
      <c r="C59" s="6"/>
      <c r="D59" s="6" t="s">
        <v>117</v>
      </c>
      <c r="E59" s="7">
        <v>1</v>
      </c>
      <c r="F59" s="33" t="s">
        <v>251</v>
      </c>
      <c r="G59" s="8">
        <v>0</v>
      </c>
      <c r="H59" s="8">
        <v>1392.8</v>
      </c>
      <c r="I59" s="9">
        <f t="shared" si="4"/>
        <v>1392.8</v>
      </c>
    </row>
    <row r="60" spans="1:9" x14ac:dyDescent="0.25">
      <c r="A60" s="33" t="s">
        <v>252</v>
      </c>
      <c r="B60" s="32" t="s">
        <v>4</v>
      </c>
      <c r="C60" s="6"/>
      <c r="D60" s="6" t="s">
        <v>24</v>
      </c>
      <c r="E60" s="7">
        <v>1</v>
      </c>
      <c r="F60" s="33" t="s">
        <v>115</v>
      </c>
      <c r="G60" s="8">
        <v>5933.35</v>
      </c>
      <c r="H60" s="8">
        <v>1392.8</v>
      </c>
      <c r="I60" s="9">
        <f t="shared" si="4"/>
        <v>7326.1500000000005</v>
      </c>
    </row>
    <row r="61" spans="1:9" x14ac:dyDescent="0.25">
      <c r="A61" s="33" t="s">
        <v>253</v>
      </c>
      <c r="B61" s="32" t="s">
        <v>4</v>
      </c>
      <c r="C61" s="6"/>
      <c r="D61" s="6" t="s">
        <v>24</v>
      </c>
      <c r="E61" s="7">
        <v>1</v>
      </c>
      <c r="F61" s="33" t="s">
        <v>220</v>
      </c>
      <c r="G61" s="8">
        <v>5125.45</v>
      </c>
      <c r="H61" s="8">
        <v>1392.8</v>
      </c>
      <c r="I61" s="9">
        <f t="shared" si="4"/>
        <v>6518.25</v>
      </c>
    </row>
    <row r="62" spans="1:9" x14ac:dyDescent="0.25">
      <c r="A62" s="33" t="s">
        <v>254</v>
      </c>
      <c r="B62" s="32" t="s">
        <v>4</v>
      </c>
      <c r="C62" s="6"/>
      <c r="D62" s="6" t="s">
        <v>24</v>
      </c>
      <c r="E62" s="7">
        <v>1</v>
      </c>
      <c r="F62" s="33" t="s">
        <v>116</v>
      </c>
      <c r="G62" s="8">
        <v>5404.89</v>
      </c>
      <c r="H62" s="8">
        <v>1392.8</v>
      </c>
      <c r="I62" s="9">
        <f t="shared" si="4"/>
        <v>6797.6900000000005</v>
      </c>
    </row>
    <row r="63" spans="1:9" x14ac:dyDescent="0.25">
      <c r="A63" s="33" t="s">
        <v>255</v>
      </c>
      <c r="B63" s="32" t="s">
        <v>4</v>
      </c>
      <c r="C63" s="6"/>
      <c r="D63" s="6" t="s">
        <v>24</v>
      </c>
      <c r="E63" s="7">
        <v>1</v>
      </c>
      <c r="F63" s="33" t="s">
        <v>221</v>
      </c>
      <c r="G63" s="8">
        <v>5298.9</v>
      </c>
      <c r="H63" s="8">
        <v>1392.8</v>
      </c>
      <c r="I63" s="9">
        <f t="shared" si="4"/>
        <v>6691.7</v>
      </c>
    </row>
    <row r="64" spans="1:9" x14ac:dyDescent="0.25">
      <c r="A64" s="33" t="s">
        <v>256</v>
      </c>
      <c r="B64" s="32" t="s">
        <v>4</v>
      </c>
      <c r="C64" s="6"/>
      <c r="D64" s="6" t="s">
        <v>117</v>
      </c>
      <c r="E64" s="7">
        <v>1</v>
      </c>
      <c r="F64" s="33" t="s">
        <v>257</v>
      </c>
      <c r="G64" s="8">
        <v>0</v>
      </c>
      <c r="H64" s="8">
        <v>1392.8</v>
      </c>
      <c r="I64" s="9">
        <f t="shared" si="4"/>
        <v>1392.8</v>
      </c>
    </row>
    <row r="65" spans="1:9" x14ac:dyDescent="0.25">
      <c r="A65" s="33" t="s">
        <v>258</v>
      </c>
      <c r="B65" s="32" t="s">
        <v>4</v>
      </c>
      <c r="C65" s="6"/>
      <c r="D65" s="6" t="s">
        <v>24</v>
      </c>
      <c r="E65" s="7">
        <v>1</v>
      </c>
      <c r="F65" s="33" t="s">
        <v>232</v>
      </c>
      <c r="G65" s="8">
        <v>8075.56</v>
      </c>
      <c r="H65" s="8">
        <v>1392.8</v>
      </c>
      <c r="I65" s="9">
        <f t="shared" si="4"/>
        <v>9468.36</v>
      </c>
    </row>
    <row r="66" spans="1:9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33" t="s">
        <v>118</v>
      </c>
      <c r="G66" s="8">
        <v>8479.33</v>
      </c>
      <c r="H66" s="8">
        <v>849.76</v>
      </c>
      <c r="I66" s="9">
        <f t="shared" si="4"/>
        <v>9329.09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si="4"/>
        <v>6524.89</v>
      </c>
    </row>
    <row r="69" spans="1:9" x14ac:dyDescent="0.25">
      <c r="A69" s="33" t="s">
        <v>260</v>
      </c>
      <c r="B69" s="32" t="s">
        <v>6</v>
      </c>
      <c r="C69" s="6"/>
      <c r="D69" s="6" t="s">
        <v>24</v>
      </c>
      <c r="E69" s="7">
        <v>1</v>
      </c>
      <c r="F69" s="33" t="s">
        <v>119</v>
      </c>
      <c r="G69" s="8">
        <v>2531.2199999999998</v>
      </c>
      <c r="H69" s="8">
        <v>505.81</v>
      </c>
      <c r="I69" s="9">
        <f t="shared" si="4"/>
        <v>3037.0299999999997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4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4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4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261</v>
      </c>
      <c r="G73" s="8">
        <v>5650.81</v>
      </c>
      <c r="H73" s="8">
        <v>505.81</v>
      </c>
      <c r="I73" s="9">
        <f t="shared" si="4"/>
        <v>6156.6200000000008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4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4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117</v>
      </c>
      <c r="E76" s="7">
        <v>1</v>
      </c>
      <c r="F76" s="31" t="s">
        <v>226</v>
      </c>
      <c r="G76" s="8">
        <v>0</v>
      </c>
      <c r="H76" s="8">
        <v>465.35</v>
      </c>
      <c r="I76" s="9">
        <f t="shared" si="4"/>
        <v>465.35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4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263</v>
      </c>
      <c r="G78" s="8">
        <v>5563.85</v>
      </c>
      <c r="H78" s="8">
        <v>465.35</v>
      </c>
      <c r="I78" s="9">
        <f t="shared" si="4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4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4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22</v>
      </c>
      <c r="D82" s="16">
        <v>1</v>
      </c>
      <c r="E82" s="16">
        <v>23</v>
      </c>
      <c r="F82" s="17"/>
      <c r="G82" s="9">
        <f>SUMIF($B$49:$B$68,"FGS-1",$G$49:$G$68)</f>
        <v>100549.27999999998</v>
      </c>
      <c r="H82" s="9">
        <f>SUMIF($B$49:$B$68,"FGS-1",$H$49:$H$68)</f>
        <v>23677.599999999991</v>
      </c>
      <c r="I82" s="9">
        <f>SUMIF($B$49:$B$68,"FGS-1",$I$49:$I$68)</f>
        <v>124226.88</v>
      </c>
    </row>
    <row r="83" spans="1:9" x14ac:dyDescent="0.25">
      <c r="A83" s="15" t="s">
        <v>129</v>
      </c>
      <c r="B83" s="28" t="s">
        <v>130</v>
      </c>
      <c r="C83" s="16">
        <f>SUMIFS($E$49:$E$83,$B$49:$B$83,"FGS-2",$D$49:$D$83,"&lt;&gt;VAGO")</f>
        <v>3</v>
      </c>
      <c r="D83" s="16">
        <f>SUMIFS($E$49:$E$83,$B$49:$B$83,"FGS-2",$D$49:$D$83,"VAGO")</f>
        <v>0</v>
      </c>
      <c r="E83" s="16">
        <f t="shared" ref="E83:E87" si="5">C83+D83</f>
        <v>3</v>
      </c>
      <c r="F83" s="20"/>
      <c r="G83" s="9">
        <f>SUMIF($B$69:$B$71,"FGS-2",$G$69:$G$71)</f>
        <v>0</v>
      </c>
      <c r="H83" s="9">
        <f>SUMIF($B$69:$B$71,"FGS-2",$H$69:$H$71)</f>
        <v>0</v>
      </c>
      <c r="I83" s="9">
        <f>SUMIF($B$69:$B$71,"FGS-2",$I$69:$I$71)</f>
        <v>0</v>
      </c>
    </row>
    <row r="84" spans="1:9" x14ac:dyDescent="0.25">
      <c r="A84" s="15" t="s">
        <v>131</v>
      </c>
      <c r="B84" s="28" t="s">
        <v>132</v>
      </c>
      <c r="C84" s="16">
        <f>SUMIFS($E$49:$E$83,$B$49:$B$83,"FGS-3",$D$49:$D$83,"&lt;&gt;VAGO")</f>
        <v>0</v>
      </c>
      <c r="D84" s="16">
        <f>SUMIFS($E$49:$E$83,$B$49:$B$83,"FGS-3",$D$49:$D$83,"VAGO")</f>
        <v>0</v>
      </c>
      <c r="E84" s="16">
        <f t="shared" si="5"/>
        <v>0</v>
      </c>
      <c r="F84" s="20"/>
      <c r="G84" s="9">
        <f>SUMIF($B$49:$B$83,"FGS-3",$G$49:$G$83)</f>
        <v>0</v>
      </c>
      <c r="H84" s="9">
        <f>SUMIF($B$49:$B$83,"FGS-3",$G$49:$G$83)</f>
        <v>0</v>
      </c>
      <c r="I84" s="9">
        <f>SUMIF($B$49:$B$83,"FGS-3",$G$49:$G$83)</f>
        <v>0</v>
      </c>
    </row>
    <row r="85" spans="1:9" x14ac:dyDescent="0.25">
      <c r="A85" s="21" t="s">
        <v>133</v>
      </c>
      <c r="B85" s="34" t="s">
        <v>134</v>
      </c>
      <c r="C85" s="16">
        <f>SUMIFS($E$49:$E$83,$B$49:$B$83,"FGA-1",$D$49:$D$83,"&lt;&gt;VAGO")</f>
        <v>5</v>
      </c>
      <c r="D85" s="16">
        <f>SUMIFS($E$49:$E$83,$B$49:$B$83,"FGA-1",$D$49:$D$83,"VAGO")</f>
        <v>0</v>
      </c>
      <c r="E85" s="16">
        <f t="shared" si="5"/>
        <v>5</v>
      </c>
      <c r="F85" s="22"/>
      <c r="G85" s="9">
        <f>SUMIF($B$72:$B$76,"FGA-1",$G$72:$G$76)</f>
        <v>5650.81</v>
      </c>
      <c r="H85" s="9">
        <f>SUMIF($B$72:$B$76,"FGA-1",$H$72:$H$76)</f>
        <v>1011.62</v>
      </c>
      <c r="I85" s="9">
        <f>SUMIF($B$72:$B$76,"FGA-1",$I$72:$I$76)</f>
        <v>6662.4300000000012</v>
      </c>
    </row>
    <row r="86" spans="1:9" x14ac:dyDescent="0.25">
      <c r="A86" s="15" t="s">
        <v>135</v>
      </c>
      <c r="B86" s="28" t="s">
        <v>7</v>
      </c>
      <c r="C86" s="16">
        <f>SUMIFS($E$49:$E$83,$B$49:$B$83,"FGA-2",$D$49:$D$83,"&lt;&gt;VAGO")</f>
        <v>7</v>
      </c>
      <c r="D86" s="16">
        <f>SUMIFS($E$49:$E$83,$B$49:$B$83,"FGA-2",$D$49:$D$83,"VAGO")</f>
        <v>0</v>
      </c>
      <c r="E86" s="16">
        <f t="shared" si="5"/>
        <v>7</v>
      </c>
      <c r="F86" s="22"/>
      <c r="G86" s="9">
        <f>SUMIF($B$77:$B$83,"FGA-2",$G$77:$G$83)</f>
        <v>10004.1</v>
      </c>
      <c r="H86" s="9">
        <f>SUMIF($B$77:$B$83,"FGA-2",$H$77:$H$83)</f>
        <v>1861.4</v>
      </c>
      <c r="I86" s="9">
        <f>SUMIF($B$77:$B$83,"FGA-2",$I$77:$I$83)</f>
        <v>11865.500000000002</v>
      </c>
    </row>
    <row r="87" spans="1:9" x14ac:dyDescent="0.25">
      <c r="A87" s="15" t="s">
        <v>136</v>
      </c>
      <c r="B87" s="28" t="s">
        <v>137</v>
      </c>
      <c r="C87" s="16">
        <f>SUMIFS($E$49:$E$83,$B$49:$B$83,"FGA-3",$D$49:$D$83,"&lt;&gt;VAGO")</f>
        <v>0</v>
      </c>
      <c r="D87" s="16">
        <f>SUMIFS($E$49:$E$83,$B$49:$B$83,"FGA-3",$D$49:$D$83,"VAGO")</f>
        <v>0</v>
      </c>
      <c r="E87" s="16">
        <f t="shared" si="5"/>
        <v>0</v>
      </c>
      <c r="F87" s="20"/>
      <c r="G87" s="9">
        <f>SUMIF($B$49:$B$83,"FGA-3",$G$49:$G$83)</f>
        <v>0</v>
      </c>
      <c r="H87" s="9">
        <f>SUMIF($B$49:$B$83,"FGA-3",$G$49:$G$83)</f>
        <v>0</v>
      </c>
      <c r="I87" s="9">
        <f>SUMIF($B$49:$B$83,"FGA-3",$G$49:$G$83)</f>
        <v>0</v>
      </c>
    </row>
    <row r="88" spans="1:9" ht="30" x14ac:dyDescent="0.25">
      <c r="A88" s="12" t="s">
        <v>138</v>
      </c>
      <c r="B88" s="27"/>
      <c r="C88" s="13">
        <f t="shared" ref="C88:E88" si="6">SUM(C82:C87)</f>
        <v>37</v>
      </c>
      <c r="D88" s="13">
        <f t="shared" si="6"/>
        <v>1</v>
      </c>
      <c r="E88" s="13">
        <f t="shared" si="6"/>
        <v>38</v>
      </c>
      <c r="F88" s="27"/>
      <c r="G88" s="29">
        <f>SUM(G82:G87)</f>
        <v>116204.18999999999</v>
      </c>
      <c r="H88" s="29">
        <f>SUM(H82:H87)</f>
        <v>26550.619999999992</v>
      </c>
      <c r="I88" s="29">
        <f>SUM(I82:I87)</f>
        <v>142754.81000000003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f ca="1">SUM(C26+C40+C88)</f>
        <v>46</v>
      </c>
      <c r="D91" s="13">
        <f ca="1">SUM(D26+D40+D88)</f>
        <v>0</v>
      </c>
      <c r="E91" s="13">
        <f ca="1">SUM(E26+E40+E88)</f>
        <v>46</v>
      </c>
      <c r="F91" s="14"/>
      <c r="G91" s="29">
        <f ca="1">SUM(H26+G40+G88)</f>
        <v>185959.39</v>
      </c>
      <c r="H91" s="29">
        <f ca="1">SUM(I26+H40+H88)</f>
        <v>68541.39</v>
      </c>
      <c r="I91" s="29">
        <f ca="1">SUM(J26+I40+I88)</f>
        <v>254500.78000000003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28"/>
      <c r="C93" s="128"/>
      <c r="D93" s="128"/>
      <c r="E93" s="128"/>
      <c r="F93" s="129"/>
      <c r="G93" s="10"/>
      <c r="H93" s="19"/>
      <c r="I93" s="19"/>
    </row>
    <row r="94" spans="1:9" x14ac:dyDescent="0.25">
      <c r="A94" s="131" t="s">
        <v>147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31" t="s">
        <v>148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149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150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151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228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24" t="s">
        <v>234</v>
      </c>
      <c r="B100" s="125"/>
      <c r="C100" s="125"/>
      <c r="D100" s="125"/>
      <c r="E100" s="125"/>
      <c r="F100" s="126"/>
      <c r="G100" s="10"/>
      <c r="H100" s="19"/>
      <c r="I100" s="19"/>
    </row>
    <row r="101" spans="1:9" x14ac:dyDescent="0.25">
      <c r="A101" s="124" t="s">
        <v>265</v>
      </c>
      <c r="B101" s="125"/>
      <c r="C101" s="125"/>
      <c r="D101" s="125"/>
      <c r="E101" s="125"/>
      <c r="F101" s="126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3"/>
      <c r="B103" s="128"/>
      <c r="C103" s="128"/>
      <c r="D103" s="128"/>
      <c r="E103" s="128"/>
      <c r="F103" s="129"/>
      <c r="G103" s="10"/>
      <c r="H103" s="19"/>
      <c r="I103" s="19"/>
    </row>
    <row r="104" spans="1:9" x14ac:dyDescent="0.25">
      <c r="A104" s="133"/>
      <c r="B104" s="128"/>
      <c r="C104" s="128"/>
      <c r="D104" s="128"/>
      <c r="E104" s="128"/>
      <c r="F104" s="129"/>
      <c r="G104" s="10"/>
      <c r="H104" s="19"/>
      <c r="I104" s="19"/>
    </row>
    <row r="105" spans="1:9" x14ac:dyDescent="0.25">
      <c r="A105" s="134"/>
      <c r="B105" s="135"/>
      <c r="C105" s="135"/>
      <c r="D105" s="135"/>
      <c r="E105" s="135"/>
      <c r="F105" s="136"/>
      <c r="G105" s="10"/>
      <c r="H105" s="19"/>
      <c r="I105" s="19"/>
    </row>
    <row r="106" spans="1:9" x14ac:dyDescent="0.25">
      <c r="A106" s="137"/>
      <c r="B106" s="138"/>
      <c r="C106" s="138"/>
      <c r="D106" s="138"/>
      <c r="E106" s="138"/>
      <c r="F106" s="138"/>
      <c r="G106" s="10"/>
      <c r="H106" s="19"/>
      <c r="I106" s="19"/>
    </row>
    <row r="107" spans="1:9" x14ac:dyDescent="0.25">
      <c r="A107" s="139" t="s">
        <v>152</v>
      </c>
      <c r="B107" s="140"/>
      <c r="C107" s="140"/>
      <c r="D107" s="140"/>
      <c r="E107" s="140"/>
      <c r="F107" s="141"/>
      <c r="G107" s="10"/>
      <c r="H107" s="19"/>
      <c r="I107" s="19"/>
    </row>
    <row r="108" spans="1:9" x14ac:dyDescent="0.25">
      <c r="A108" s="142" t="s">
        <v>153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154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155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156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157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158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159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160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161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162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163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164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165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166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167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168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169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170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171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172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173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174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175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176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177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178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179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180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181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182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183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184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185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186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187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188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189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190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191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192</v>
      </c>
      <c r="B147" s="128"/>
      <c r="C147" s="128"/>
      <c r="D147" s="128"/>
      <c r="E147" s="128"/>
      <c r="F147" s="129"/>
      <c r="G147" s="10"/>
      <c r="H147" s="19"/>
      <c r="I147" s="19"/>
    </row>
    <row r="148" spans="1:9" x14ac:dyDescent="0.25">
      <c r="A148" s="132" t="s">
        <v>193</v>
      </c>
      <c r="B148" s="128"/>
      <c r="C148" s="128"/>
      <c r="D148" s="128"/>
      <c r="E148" s="128"/>
      <c r="F148" s="129"/>
      <c r="G148" s="10"/>
      <c r="H148" s="19"/>
      <c r="I148" s="19"/>
    </row>
    <row r="149" spans="1:9" x14ac:dyDescent="0.25">
      <c r="A149" s="132" t="s">
        <v>194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195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196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197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198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199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200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201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202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203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204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205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206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207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208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209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210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211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132" t="s">
        <v>212</v>
      </c>
      <c r="B167" s="128"/>
      <c r="C167" s="128"/>
      <c r="D167" s="128"/>
      <c r="E167" s="128"/>
      <c r="F167" s="129"/>
      <c r="G167" s="35"/>
      <c r="H167" s="35"/>
      <c r="I167" s="35"/>
    </row>
    <row r="168" spans="1:9" x14ac:dyDescent="0.25">
      <c r="A168" s="132" t="s">
        <v>213</v>
      </c>
      <c r="B168" s="128"/>
      <c r="C168" s="128"/>
      <c r="D168" s="128"/>
      <c r="E168" s="128"/>
      <c r="F168" s="12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5" spans="1:9" x14ac:dyDescent="0.25">
      <c r="A175" s="39" t="s">
        <v>274</v>
      </c>
    </row>
    <row r="176" spans="1:9" x14ac:dyDescent="0.25">
      <c r="A176" s="40" t="s">
        <v>10</v>
      </c>
    </row>
    <row r="177" spans="1:1" x14ac:dyDescent="0.25">
      <c r="A177" s="39" t="s">
        <v>235</v>
      </c>
    </row>
  </sheetData>
  <mergeCells count="83">
    <mergeCell ref="A1:J1"/>
    <mergeCell ref="A2:J2"/>
    <mergeCell ref="A3:J3"/>
    <mergeCell ref="B4:J4"/>
    <mergeCell ref="A100:F100"/>
    <mergeCell ref="A5:J5"/>
    <mergeCell ref="A28:I28"/>
    <mergeCell ref="A42:I42"/>
    <mergeCell ref="A93:F93"/>
    <mergeCell ref="A94:F94"/>
    <mergeCell ref="A95:F95"/>
    <mergeCell ref="A96:F96"/>
    <mergeCell ref="A97:F97"/>
    <mergeCell ref="A98:F98"/>
    <mergeCell ref="A99:F99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60:F160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7:F167"/>
    <mergeCell ref="A168:F168"/>
    <mergeCell ref="A161:F161"/>
    <mergeCell ref="A162:F162"/>
    <mergeCell ref="A163:F163"/>
    <mergeCell ref="A164:F164"/>
    <mergeCell ref="A165:F165"/>
    <mergeCell ref="A166:F166"/>
  </mergeCells>
  <dataValidations count="4">
    <dataValidation type="list" allowBlank="1" sqref="B7:B13" xr:uid="{79D9F827-471D-4918-9694-E3846807DB79}">
      <formula1>"DAS,DAS-1,DAS-2,DAS-3,DAS-4,DAS-5,CAA-1,CAA-2,CAA-3,CAA-4,CAA-5"</formula1>
    </dataValidation>
    <dataValidation type="list" allowBlank="1" sqref="B30:B33" xr:uid="{873E8313-15F5-4B0D-AF39-C12B559FA429}">
      <formula1>"FDA,FDA-1,FDA-2,FDA-3,FDA-4"</formula1>
    </dataValidation>
    <dataValidation type="list" allowBlank="1" sqref="B44:B80" xr:uid="{BEC9CC67-9F95-4461-8884-863FA5548C59}">
      <formula1>"FGS-1,FGS-2,FGS-3,FGA-1,FGA-2,FGA-3"</formula1>
    </dataValidation>
    <dataValidation type="list" allowBlank="1" sqref="D44:D80 D30:D33 D7:D13" xr:uid="{0DF18208-2AA9-40A8-A2BF-0227B5D4F387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9DA2-E9C0-4B6E-8243-8A0FA1C01BB9}">
  <dimension ref="A1:AA177"/>
  <sheetViews>
    <sheetView workbookViewId="0">
      <selection activeCell="A2" sqref="A2:J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70.5703125" customWidth="1"/>
    <col min="7" max="7" width="15.7109375" customWidth="1"/>
    <col min="8" max="8" width="13.5703125" customWidth="1"/>
    <col min="9" max="9" width="15.28515625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369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1" t="s">
        <v>354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4" t="s">
        <v>18</v>
      </c>
      <c r="G6" s="4" t="s">
        <v>19</v>
      </c>
      <c r="H6" s="4" t="s">
        <v>20</v>
      </c>
      <c r="I6" s="4" t="s">
        <v>21</v>
      </c>
    </row>
    <row r="7" spans="1:27" x14ac:dyDescent="0.25">
      <c r="A7" s="11" t="s">
        <v>22</v>
      </c>
      <c r="B7" s="5" t="s">
        <v>0</v>
      </c>
      <c r="C7" s="6" t="s">
        <v>23</v>
      </c>
      <c r="D7" s="6" t="s">
        <v>24</v>
      </c>
      <c r="E7" s="7">
        <v>1</v>
      </c>
      <c r="F7" s="11" t="s">
        <v>275</v>
      </c>
      <c r="G7" s="8">
        <v>0</v>
      </c>
      <c r="H7" s="8">
        <v>8903.2999999999993</v>
      </c>
      <c r="I7" s="8">
        <v>9249.0300000000007</v>
      </c>
    </row>
    <row r="8" spans="1:27" x14ac:dyDescent="0.25">
      <c r="A8" s="11" t="s">
        <v>26</v>
      </c>
      <c r="B8" s="5" t="s">
        <v>2</v>
      </c>
      <c r="C8" s="6" t="s">
        <v>27</v>
      </c>
      <c r="D8" s="6" t="s">
        <v>28</v>
      </c>
      <c r="E8" s="7">
        <v>1</v>
      </c>
      <c r="F8" s="11"/>
      <c r="G8" s="8"/>
      <c r="H8" s="8"/>
      <c r="I8" s="8"/>
    </row>
    <row r="9" spans="1:27" x14ac:dyDescent="0.25">
      <c r="A9" s="11" t="s">
        <v>38</v>
      </c>
      <c r="B9" s="6" t="s">
        <v>2</v>
      </c>
      <c r="C9" s="6" t="s">
        <v>39</v>
      </c>
      <c r="D9" s="6" t="s">
        <v>28</v>
      </c>
      <c r="E9" s="7">
        <v>1</v>
      </c>
      <c r="F9" s="11"/>
      <c r="G9" s="8"/>
      <c r="H9" s="8"/>
      <c r="I9" s="8"/>
    </row>
    <row r="10" spans="1:27" x14ac:dyDescent="0.25">
      <c r="A10" s="11" t="s">
        <v>36</v>
      </c>
      <c r="B10" s="5" t="s">
        <v>8</v>
      </c>
      <c r="C10" s="6" t="s">
        <v>37</v>
      </c>
      <c r="D10" s="6" t="s">
        <v>28</v>
      </c>
      <c r="E10" s="7">
        <v>1</v>
      </c>
      <c r="F10" s="11"/>
      <c r="G10" s="8"/>
      <c r="H10" s="8"/>
      <c r="I10" s="8"/>
    </row>
    <row r="11" spans="1:27" x14ac:dyDescent="0.25">
      <c r="A11" s="11" t="s">
        <v>267</v>
      </c>
      <c r="B11" s="5" t="s">
        <v>8</v>
      </c>
      <c r="C11" s="6" t="s">
        <v>35</v>
      </c>
      <c r="D11" s="6" t="s">
        <v>28</v>
      </c>
      <c r="E11" s="7">
        <v>1</v>
      </c>
      <c r="F11" s="11"/>
      <c r="G11" s="8"/>
      <c r="H11" s="8"/>
      <c r="I11" s="8"/>
    </row>
    <row r="12" spans="1:27" x14ac:dyDescent="0.25">
      <c r="A12" s="11" t="s">
        <v>268</v>
      </c>
      <c r="B12" s="5" t="s">
        <v>9</v>
      </c>
      <c r="C12" s="6" t="s">
        <v>30</v>
      </c>
      <c r="D12" s="6" t="s">
        <v>28</v>
      </c>
      <c r="E12" s="7">
        <v>1</v>
      </c>
      <c r="F12" s="11"/>
      <c r="G12" s="8"/>
      <c r="H12" s="8"/>
      <c r="I12" s="8"/>
    </row>
    <row r="13" spans="1:27" x14ac:dyDescent="0.25">
      <c r="A13" s="11" t="s">
        <v>31</v>
      </c>
      <c r="B13" s="5" t="s">
        <v>32</v>
      </c>
      <c r="C13" s="6" t="s">
        <v>33</v>
      </c>
      <c r="D13" s="6" t="s">
        <v>28</v>
      </c>
      <c r="E13" s="7">
        <v>1</v>
      </c>
      <c r="F13" s="11"/>
      <c r="G13" s="8"/>
      <c r="H13" s="8"/>
      <c r="I13" s="8"/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14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SUMIFS($E$13:$E$16,$B$13:$B$16,"DAS",$D$13:$D$16,"&lt;&gt;VAGO")</f>
        <v>0</v>
      </c>
      <c r="D15" s="16">
        <f ca="1">SUMIFS($E$13:$E$16,$B$13:$B$16,"DAS",$D$13:$D$16,"VAGO")</f>
        <v>0</v>
      </c>
      <c r="E15" s="16">
        <f t="shared" ref="E15:E25" ca="1" si="0">C15+D15</f>
        <v>0</v>
      </c>
      <c r="F15" s="17"/>
      <c r="G15" s="18">
        <f ca="1">SUMIF($B$13:$B$16,"DAS",$G$13:$G$16)</f>
        <v>0</v>
      </c>
      <c r="H15" s="18">
        <f ca="1">SUMIF($B$13:$B$16,"DAS",$H$13:$H$16)</f>
        <v>0</v>
      </c>
      <c r="I15" s="18">
        <f ca="1">SUMIF($B$13:$B$16,"DAS",$I$13:$I$16)</f>
        <v>0</v>
      </c>
    </row>
    <row r="16" spans="1:27" x14ac:dyDescent="0.25">
      <c r="A16" s="15" t="s">
        <v>50</v>
      </c>
      <c r="B16" s="7" t="s">
        <v>0</v>
      </c>
      <c r="C16" s="16">
        <v>1</v>
      </c>
      <c r="D16" s="16">
        <f ca="1">SUMIFS($E$13:$E$16,$B$13:$B$16,"DAS-1",$D$13:$D$16,"VAGO")</f>
        <v>0</v>
      </c>
      <c r="E16" s="16">
        <f t="shared" ca="1" si="0"/>
        <v>1</v>
      </c>
      <c r="F16" s="20"/>
      <c r="G16" s="18">
        <f ca="1">SUMIF($B$13:$B$16,"DAS-1",$G$13:$G$16)</f>
        <v>0</v>
      </c>
      <c r="H16" s="41">
        <v>8903.2999999999993</v>
      </c>
      <c r="I16" s="41">
        <v>9249.0300000000007</v>
      </c>
    </row>
    <row r="17" spans="1:9" x14ac:dyDescent="0.25">
      <c r="A17" s="15" t="s">
        <v>51</v>
      </c>
      <c r="B17" s="7" t="s">
        <v>52</v>
      </c>
      <c r="C17" s="16">
        <f>SUMIFS($E$13:$E$16,$B$13:$B$16,"DAS-2",$D$13:$D$16,"&lt;&gt;VAGO")</f>
        <v>0</v>
      </c>
      <c r="D17" s="16">
        <v>0</v>
      </c>
      <c r="E17" s="16">
        <f t="shared" si="0"/>
        <v>0</v>
      </c>
      <c r="F17" s="20"/>
      <c r="G17" s="18">
        <f>SUMIF($B$13:$B$16,"DAS-2",$G$13:$G$16)</f>
        <v>0</v>
      </c>
      <c r="H17" s="18">
        <f>SUMIF($B$13:$B$16,"DAS-2",$H$13:$H$16)</f>
        <v>0</v>
      </c>
      <c r="I17" s="18">
        <f>SUMIF($B$13:$B$16,"DAS-2",$I$13:$I$16)</f>
        <v>0</v>
      </c>
    </row>
    <row r="18" spans="1:9" x14ac:dyDescent="0.25">
      <c r="A18" s="15" t="s">
        <v>53</v>
      </c>
      <c r="B18" s="7" t="s">
        <v>54</v>
      </c>
      <c r="C18" s="16">
        <f>SUMIFS($E$13:$E$16,$B$13:$B$16,"DAS-3",$D$13:$D$16,"&lt;&gt;VAGO")</f>
        <v>0</v>
      </c>
      <c r="D18" s="16">
        <f>SUMIFS($E$13:$E$16,$B$13:$B$16,"DAS-3",$D$13:$D$16,"VAGO")</f>
        <v>0</v>
      </c>
      <c r="E18" s="16">
        <f t="shared" si="0"/>
        <v>0</v>
      </c>
      <c r="F18" s="20"/>
      <c r="G18" s="18">
        <f>SUMIF($B$13:$B$16,"DAS-3",$G$13:$G$16)</f>
        <v>0</v>
      </c>
      <c r="H18" s="18">
        <f>SUMIF($B$13:$B$16,"DAS-3",$H$13:$H$16)</f>
        <v>0</v>
      </c>
      <c r="I18" s="18">
        <f>SUMIF($B$13:$B$16,"DAS-3",$I$13:$I$16)</f>
        <v>0</v>
      </c>
    </row>
    <row r="19" spans="1:9" x14ac:dyDescent="0.25">
      <c r="A19" s="21" t="s">
        <v>55</v>
      </c>
      <c r="B19" s="7" t="s">
        <v>56</v>
      </c>
      <c r="C19" s="16">
        <f>SUMIFS($E$13:$E$16,$B$13:$B$16,"DAS-4",$D$13:$D$16,"&lt;&gt;VAGO")</f>
        <v>0</v>
      </c>
      <c r="D19" s="16">
        <f>SUMIFS($E$13:$E$16,$B$13:$B$16,"DAS-4",$D$13:$D$16,"VAGO")</f>
        <v>0</v>
      </c>
      <c r="E19" s="16">
        <f t="shared" si="0"/>
        <v>0</v>
      </c>
      <c r="F19" s="22"/>
      <c r="G19" s="18">
        <f>SUMIF($B$13:$B$16,"DAS-4",$G$13:$G$16)</f>
        <v>0</v>
      </c>
      <c r="H19" s="18">
        <f>SUMIF($B$13:$B$16,"DAS-4",$H$13:$H$16)</f>
        <v>0</v>
      </c>
      <c r="I19" s="18">
        <f>SUMIF($B$13:$B$16,"DAS-4",$I$13:$I$16)</f>
        <v>0</v>
      </c>
    </row>
    <row r="20" spans="1:9" x14ac:dyDescent="0.25">
      <c r="A20" s="21" t="s">
        <v>57</v>
      </c>
      <c r="B20" s="7" t="s">
        <v>2</v>
      </c>
      <c r="C20" s="16">
        <v>0</v>
      </c>
      <c r="D20" s="16">
        <v>2</v>
      </c>
      <c r="E20" s="16">
        <v>2</v>
      </c>
      <c r="F20" s="22"/>
      <c r="G20" s="18">
        <f>SUMIF($B$13:$B$16,"DAS-5",$G$13:$G$16)</f>
        <v>0</v>
      </c>
      <c r="H20" s="18">
        <f>SUMIF($B$13:$B$16,"DAS-5",$H$13:$H$16)</f>
        <v>0</v>
      </c>
      <c r="I20" s="18">
        <f>SUMIF($B$13:$B$16,"DAS-5",$I$13:$I$16)</f>
        <v>0</v>
      </c>
    </row>
    <row r="21" spans="1:9" x14ac:dyDescent="0.25">
      <c r="A21" s="21" t="s">
        <v>58</v>
      </c>
      <c r="B21" s="7" t="s">
        <v>59</v>
      </c>
      <c r="C21" s="16">
        <f>SUMIFS($E$13:$E$16,$B$13:$B$16,"CAA-1",$D$13:$D$16,"&lt;&gt;VAGO")</f>
        <v>0</v>
      </c>
      <c r="D21" s="16">
        <f>SUMIFS($E$13:$E$16,$B$13:$B$16,"CAA-1",$D$13:$D$16,"VAGO")</f>
        <v>0</v>
      </c>
      <c r="E21" s="16">
        <f t="shared" si="0"/>
        <v>0</v>
      </c>
      <c r="F21" s="22"/>
      <c r="G21" s="18">
        <f>SUMIF($B$13:$B$16,"CAA-1",$G$13:$G$16)</f>
        <v>0</v>
      </c>
      <c r="H21" s="18">
        <f>SUMIF($B$13:$B$16,"CAA-1",$H$13:$H$16)</f>
        <v>0</v>
      </c>
      <c r="I21" s="18">
        <f>SUMIF($B$13:$B$16,"CAA-1",$I$13:$I$16)</f>
        <v>0</v>
      </c>
    </row>
    <row r="22" spans="1:9" x14ac:dyDescent="0.25">
      <c r="A22" s="21" t="s">
        <v>60</v>
      </c>
      <c r="B22" s="7" t="s">
        <v>8</v>
      </c>
      <c r="C22" s="16">
        <v>0</v>
      </c>
      <c r="D22" s="16">
        <v>2</v>
      </c>
      <c r="E22" s="16">
        <v>2</v>
      </c>
      <c r="F22" s="22"/>
      <c r="G22" s="18">
        <f>SUMIF($B$13:$B$16,"CAA-2",$G$13:$G$16)</f>
        <v>0</v>
      </c>
      <c r="H22" s="18">
        <f>SUMIF($B$13:$B$16,"CAA-2",$H$13:$H$16)</f>
        <v>0</v>
      </c>
      <c r="I22" s="18">
        <f>SUMIF($B$13:$B$16,"CAA-2",$I$13:$I$16)</f>
        <v>0</v>
      </c>
    </row>
    <row r="23" spans="1:9" x14ac:dyDescent="0.25">
      <c r="A23" s="21" t="s">
        <v>61</v>
      </c>
      <c r="B23" s="7" t="s">
        <v>9</v>
      </c>
      <c r="C23" s="16">
        <v>0</v>
      </c>
      <c r="D23" s="16">
        <v>1</v>
      </c>
      <c r="E23" s="16">
        <f t="shared" si="0"/>
        <v>1</v>
      </c>
      <c r="F23" s="20" t="s">
        <v>269</v>
      </c>
      <c r="G23" s="18">
        <f>SUMIF($B$13:$B$16,"CAA-3",$G$13:$G$16)</f>
        <v>0</v>
      </c>
      <c r="H23" s="18">
        <f>SUMIF($B$13:$B$16,"CAA-3",$H$13:$H$16)</f>
        <v>0</v>
      </c>
      <c r="I23" s="18">
        <f>SUMIF($B$13:$B$16,"CAA-3",$I$13:$I$16)</f>
        <v>0</v>
      </c>
    </row>
    <row r="24" spans="1:9" x14ac:dyDescent="0.25">
      <c r="A24" s="21" t="s">
        <v>62</v>
      </c>
      <c r="B24" s="7" t="s">
        <v>32</v>
      </c>
      <c r="C24" s="16">
        <v>0</v>
      </c>
      <c r="D24" s="16">
        <v>1</v>
      </c>
      <c r="E24" s="16">
        <f t="shared" si="0"/>
        <v>1</v>
      </c>
      <c r="F24" s="20"/>
      <c r="G24" s="18">
        <f>SUMIF($B$13:$B$16,"CAA-4",$G$13:$G$16)</f>
        <v>0</v>
      </c>
      <c r="H24" s="18">
        <f>SUMIF($B$13:$B$16,"CAA-4",$H$13:$H$16)</f>
        <v>0</v>
      </c>
      <c r="I24" s="18">
        <f>SUMIF($B$13:$B$16,"CAA-4",$I$13:$I$16)</f>
        <v>0</v>
      </c>
    </row>
    <row r="25" spans="1:9" x14ac:dyDescent="0.25">
      <c r="A25" s="21" t="s">
        <v>63</v>
      </c>
      <c r="B25" s="7" t="s">
        <v>64</v>
      </c>
      <c r="C25" s="16">
        <f>SUMIFS($E$13:$E$16,$B$13:$B$16,"CAA-5",$D$13:$D$16,"&lt;&gt;VAGO")</f>
        <v>0</v>
      </c>
      <c r="D25" s="16">
        <f>SUMIFS($E$13:$E$16,$B$13:$B$16,"CAA-5",$D$13:$D$16,"VAGO")</f>
        <v>0</v>
      </c>
      <c r="E25" s="16">
        <f t="shared" si="0"/>
        <v>0</v>
      </c>
      <c r="F25" s="20"/>
      <c r="G25" s="18">
        <f>SUMIF($B$13:$B$16,"CAA-5",$G$13:$G$16)</f>
        <v>0</v>
      </c>
      <c r="H25" s="18">
        <f>SUMIF($B$13:$B$16,"CAA-5",$H$13:$H$16)</f>
        <v>0</v>
      </c>
      <c r="I25" s="18">
        <f>SUMIF($B$13:$B$16,"CAA-5",$I$13:$I$16)</f>
        <v>0</v>
      </c>
    </row>
    <row r="26" spans="1:9" x14ac:dyDescent="0.25">
      <c r="A26" s="12" t="s">
        <v>65</v>
      </c>
      <c r="B26" s="14"/>
      <c r="C26" s="13">
        <v>1</v>
      </c>
      <c r="D26" s="13">
        <v>6</v>
      </c>
      <c r="E26" s="13">
        <f ca="1">SUM(E15:E25)</f>
        <v>7</v>
      </c>
      <c r="F26" s="14"/>
      <c r="G26" s="23">
        <f ca="1">SUM(G15:G25)</f>
        <v>0</v>
      </c>
      <c r="H26" s="23">
        <f ca="1">SUM(H15:H25)</f>
        <v>12366.33</v>
      </c>
      <c r="I26" s="23">
        <f ca="1">SUM(I15:I25)</f>
        <v>23521.24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x14ac:dyDescent="0.25">
      <c r="A30" s="33" t="s">
        <v>81</v>
      </c>
      <c r="B30" s="26" t="s">
        <v>3</v>
      </c>
      <c r="C30" s="6" t="s">
        <v>35</v>
      </c>
      <c r="D30" s="6" t="s">
        <v>24</v>
      </c>
      <c r="E30" s="7">
        <v>1</v>
      </c>
      <c r="G30" s="18">
        <f ca="1">SUMIF($B$13:$B$16,"DAS",$G$13:$G$16)</f>
        <v>0</v>
      </c>
      <c r="H30" s="18">
        <f ca="1">SUMIF($B$13:$B$16,"DAS",$H$13:$H$16)</f>
        <v>0</v>
      </c>
      <c r="I30" s="18">
        <f ca="1">SUMIF($B$13:$B$16,"DAS",$I$13:$I$16)</f>
        <v>0</v>
      </c>
    </row>
    <row r="31" spans="1:9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/>
      <c r="G31" s="18">
        <f ca="1">SUMIF($B$13:$B$16,"DAS",$G$13:$G$16)</f>
        <v>0</v>
      </c>
      <c r="H31" s="18">
        <f ca="1">SUMIF($B$13:$B$16,"DAS",$H$13:$H$16)</f>
        <v>0</v>
      </c>
      <c r="I31" s="18">
        <f ca="1">SUMIF($B$13:$B$16,"DAS",$I$13:$I$16)</f>
        <v>0</v>
      </c>
    </row>
    <row r="32" spans="1:9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/>
      <c r="G32" s="18">
        <f ca="1">SUMIF($B$13:$B$16,"DAS",$G$13:$G$16)</f>
        <v>0</v>
      </c>
      <c r="H32" s="18">
        <f ca="1">SUMIF($B$13:$B$16,"DAS",$H$13:$H$16)</f>
        <v>0</v>
      </c>
      <c r="I32" s="18">
        <f ca="1">SUMIF($B$13:$B$16,"DAS",$I$13:$I$16)</f>
        <v>0</v>
      </c>
    </row>
    <row r="33" spans="1:11" ht="28.5" x14ac:dyDescent="0.25">
      <c r="A33" s="33" t="s">
        <v>76</v>
      </c>
      <c r="B33" s="26" t="s">
        <v>1</v>
      </c>
      <c r="C33" s="6" t="s">
        <v>35</v>
      </c>
      <c r="D33" s="6" t="s">
        <v>24</v>
      </c>
      <c r="E33" s="7">
        <v>1</v>
      </c>
      <c r="F33" s="37"/>
      <c r="G33" s="18">
        <f ca="1">SUMIF($B$13:$B$16,"DAS",$G$13:$G$16)</f>
        <v>0</v>
      </c>
      <c r="H33" s="18">
        <f ca="1">SUMIF($B$13:$B$16,"DAS",$H$13:$H$16)</f>
        <v>0</v>
      </c>
      <c r="I33" s="18">
        <f ca="1">SUMIF($B$13:$B$16,"DAS",$I$13:$I$16)</f>
        <v>0</v>
      </c>
    </row>
    <row r="34" spans="1:11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11" x14ac:dyDescent="0.25">
      <c r="A35" s="15" t="s">
        <v>90</v>
      </c>
      <c r="B35" s="28" t="s">
        <v>91</v>
      </c>
      <c r="C35" s="16">
        <f ca="1">SUMIFS($E$30:$E$36,$B$30:$B$36,"FDA",$D$30:$D$36,"&lt;&gt;VAGO")</f>
        <v>0</v>
      </c>
      <c r="D35" s="16">
        <f ca="1">SUMIFS($E$30:$E$36,$B$30:$B$36,"FDA",$D$30:$D$36,"VAGO")</f>
        <v>0</v>
      </c>
      <c r="E35" s="16">
        <f t="shared" ref="E35:E39" ca="1" si="1">C35+D35</f>
        <v>0</v>
      </c>
      <c r="F35" s="17"/>
      <c r="G35" s="9">
        <f ca="1">SUMIF($B$30:$B$36,"FDA",$G$30:$G$36)</f>
        <v>0</v>
      </c>
      <c r="H35" s="9">
        <f ca="1">SUMIF($B$30:$B$36,"FDA",$H$30:$H$36)</f>
        <v>0</v>
      </c>
      <c r="I35" s="9">
        <f ca="1">SUMIF($B$30:$B$36,"FDA",$I$30:$I$36)</f>
        <v>0</v>
      </c>
    </row>
    <row r="36" spans="1:11" x14ac:dyDescent="0.25">
      <c r="A36" s="15" t="s">
        <v>92</v>
      </c>
      <c r="B36" s="28" t="s">
        <v>93</v>
      </c>
      <c r="C36" s="16">
        <f ca="1">SUMIFS($E$30:$E$36,$B$30:$B$36,"FDA-1",$D$30:$D$36,"&lt;&gt;VAGO")</f>
        <v>0</v>
      </c>
      <c r="D36" s="16">
        <f ca="1">SUMIFS($E$30:$E$36,$B$30:$B$36,"FDA-1",$D$30:$D$36,"VAGO")</f>
        <v>0</v>
      </c>
      <c r="E36" s="16">
        <f t="shared" ca="1" si="1"/>
        <v>0</v>
      </c>
      <c r="F36" s="17"/>
      <c r="G36" s="9">
        <f ca="1">SUMIF($B$30:$B$36,"FDA-1",$G$30:$G$36)</f>
        <v>0</v>
      </c>
      <c r="H36" s="9">
        <f ca="1">SUMIF($B$30:$B$36,"FDA-1",$H$30:$H$36)</f>
        <v>0</v>
      </c>
      <c r="I36" s="9">
        <f ca="1">SUMIF($B$30:$B$36,"FDA-1",$I$30:$I$36)</f>
        <v>0</v>
      </c>
    </row>
    <row r="37" spans="1:11" x14ac:dyDescent="0.25">
      <c r="A37" s="15" t="s">
        <v>94</v>
      </c>
      <c r="B37" s="28" t="s">
        <v>95</v>
      </c>
      <c r="C37" s="16">
        <f>SUMIFS($E$30:$E$36,$B$30:$B$36,"FDA-2",$D$30:$D$36,"&lt;&gt;VAGO")</f>
        <v>0</v>
      </c>
      <c r="D37" s="16">
        <f>SUMIFS($E$30:$E$36,$B$30:$B$36,"FDA-2",$D$30:$D$36,"VAGO")</f>
        <v>0</v>
      </c>
      <c r="E37" s="16">
        <f t="shared" si="1"/>
        <v>0</v>
      </c>
      <c r="F37" s="20"/>
      <c r="G37" s="9">
        <f>SUMIF($B$30:$B$36,"FDA-2",$G$30:$G$36)</f>
        <v>0</v>
      </c>
      <c r="H37" s="9">
        <f>SUMIF($B$30:$B$36,"FDA-2",$H$30:$H$36)</f>
        <v>0</v>
      </c>
      <c r="I37" s="9">
        <f>SUMIF($B$30:$B$36,"FDA-2",$I$30:$I$36)</f>
        <v>0</v>
      </c>
    </row>
    <row r="38" spans="1:11" x14ac:dyDescent="0.25">
      <c r="A38" s="15" t="s">
        <v>96</v>
      </c>
      <c r="B38" s="28" t="s">
        <v>3</v>
      </c>
      <c r="C38" s="16">
        <f>SUMIFS($E$30:$E$36,$B$30:$B$36,"FDA-3",$D$30:$D$36,"&lt;&gt;VAGO")</f>
        <v>3</v>
      </c>
      <c r="D38" s="16">
        <f>SUMIFS($E$30:$E$36,$B$30:$B$36,"FDA-3",$D$30:$D$36,"VAGO")</f>
        <v>0</v>
      </c>
      <c r="E38" s="16">
        <f t="shared" si="1"/>
        <v>3</v>
      </c>
      <c r="F38" s="22"/>
      <c r="G38" s="9">
        <f ca="1">SUMIF($B$30:$B$36,"FDA-3",$G$30:$G$36)</f>
        <v>0</v>
      </c>
      <c r="H38" s="9">
        <f ca="1">SUMIF($B$30:$B$36,"FDA-3",$H$30:$H$36)</f>
        <v>0</v>
      </c>
      <c r="I38" s="9">
        <f ca="1">SUMIF($B$30:$B$36,"FDA-3",$I$30:$I$36)</f>
        <v>0</v>
      </c>
    </row>
    <row r="39" spans="1:11" x14ac:dyDescent="0.25">
      <c r="A39" s="15" t="s">
        <v>97</v>
      </c>
      <c r="B39" s="28" t="s">
        <v>1</v>
      </c>
      <c r="C39" s="16">
        <f>SUMIFS($E$30:$E$36,$B$30:$B$36,"FDA-4",$D$30:$D$36,"&lt;&gt;VAGO")</f>
        <v>1</v>
      </c>
      <c r="D39" s="16">
        <f>SUMIFS($E$30:$E$36,$B$30:$B$36,"FDA-4",$D$30:$D$36,"VAGO")</f>
        <v>0</v>
      </c>
      <c r="E39" s="16">
        <f t="shared" si="1"/>
        <v>1</v>
      </c>
      <c r="F39" s="20"/>
      <c r="G39" s="9">
        <f ca="1">SUMIF($B$30:$B$36,"FDA-4",$G$30:$G$36)</f>
        <v>0</v>
      </c>
      <c r="H39" s="9">
        <f ca="1">SUMIF($B$30:$B$36,"FDA-4",$H$30:$H$36)</f>
        <v>0</v>
      </c>
      <c r="I39" s="9">
        <f ca="1">SUMIF($B$30:$B$36,"FDA-4",$I$30:$I$36)</f>
        <v>0</v>
      </c>
    </row>
    <row r="40" spans="1:11" ht="30" x14ac:dyDescent="0.25">
      <c r="A40" s="12" t="s">
        <v>98</v>
      </c>
      <c r="B40" s="27"/>
      <c r="C40" s="13">
        <f t="shared" ref="C40:E40" ca="1" si="2">SUM(C36:C39)</f>
        <v>4</v>
      </c>
      <c r="D40" s="13">
        <f t="shared" ca="1" si="2"/>
        <v>0</v>
      </c>
      <c r="E40" s="13">
        <f t="shared" ca="1" si="2"/>
        <v>4</v>
      </c>
      <c r="F40" s="27"/>
      <c r="G40" s="29">
        <f t="shared" ref="G40:I40" ca="1" si="3">SUM(G35:G39)</f>
        <v>28238.09</v>
      </c>
      <c r="H40" s="29">
        <f t="shared" ca="1" si="3"/>
        <v>13820.380000000001</v>
      </c>
      <c r="I40" s="29">
        <f t="shared" ca="1" si="3"/>
        <v>42058.47</v>
      </c>
    </row>
    <row r="41" spans="1:11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11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11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11" x14ac:dyDescent="0.25">
      <c r="A44" s="42" t="s">
        <v>270</v>
      </c>
      <c r="B44" s="43" t="s">
        <v>4</v>
      </c>
      <c r="C44" s="44"/>
      <c r="D44" s="44" t="s">
        <v>24</v>
      </c>
      <c r="E44" s="45">
        <v>1</v>
      </c>
      <c r="F44" s="46" t="s">
        <v>271</v>
      </c>
      <c r="G44" s="8">
        <v>5933.35</v>
      </c>
      <c r="H44" s="8">
        <v>1392.8</v>
      </c>
      <c r="I44" s="9">
        <f>SUM(G44:H44)</f>
        <v>7326.1500000000005</v>
      </c>
      <c r="J44" s="47"/>
      <c r="K44" s="47"/>
    </row>
    <row r="45" spans="1:11" x14ac:dyDescent="0.25">
      <c r="A45" s="42" t="s">
        <v>272</v>
      </c>
      <c r="B45" s="43" t="s">
        <v>4</v>
      </c>
      <c r="C45" s="44"/>
      <c r="D45" s="44" t="s">
        <v>24</v>
      </c>
      <c r="E45" s="45">
        <v>1</v>
      </c>
      <c r="F45" s="33" t="s">
        <v>222</v>
      </c>
      <c r="G45" s="8">
        <v>5675.13</v>
      </c>
      <c r="H45" s="8">
        <v>1392.8</v>
      </c>
      <c r="I45" s="9">
        <v>7067.93</v>
      </c>
      <c r="J45" s="47"/>
      <c r="K45" s="47"/>
    </row>
    <row r="46" spans="1:11" x14ac:dyDescent="0.25">
      <c r="A46" s="31" t="s">
        <v>236</v>
      </c>
      <c r="B46" s="32" t="s">
        <v>4</v>
      </c>
      <c r="C46" s="32"/>
      <c r="D46" s="6" t="s">
        <v>24</v>
      </c>
      <c r="E46" s="7">
        <v>1</v>
      </c>
      <c r="F46" s="31" t="s">
        <v>218</v>
      </c>
      <c r="G46" s="8">
        <v>8075.56</v>
      </c>
      <c r="H46" s="8">
        <v>1392.8</v>
      </c>
      <c r="I46" s="9">
        <f>SUM(G46:H46)</f>
        <v>9468.36</v>
      </c>
    </row>
    <row r="47" spans="1:11" x14ac:dyDescent="0.25">
      <c r="A47" s="33" t="s">
        <v>237</v>
      </c>
      <c r="B47" s="32" t="s">
        <v>4</v>
      </c>
      <c r="C47" s="6"/>
      <c r="D47" s="6" t="s">
        <v>24</v>
      </c>
      <c r="E47" s="7">
        <v>1</v>
      </c>
      <c r="F47" s="33" t="s">
        <v>276</v>
      </c>
      <c r="G47" s="8">
        <v>5250.46</v>
      </c>
      <c r="H47" s="8">
        <v>1392.8</v>
      </c>
      <c r="I47" s="9">
        <f t="shared" ref="I47:I80" si="4">SUM(G47:H47)</f>
        <v>6643.26</v>
      </c>
    </row>
    <row r="48" spans="1:11" x14ac:dyDescent="0.25">
      <c r="A48" s="33" t="s">
        <v>238</v>
      </c>
      <c r="B48" s="32" t="s">
        <v>4</v>
      </c>
      <c r="C48" s="6"/>
      <c r="D48" s="6" t="s">
        <v>24</v>
      </c>
      <c r="E48" s="7">
        <v>1</v>
      </c>
      <c r="F48" s="33" t="s">
        <v>214</v>
      </c>
      <c r="G48" s="8">
        <v>8075.56</v>
      </c>
      <c r="H48" s="8">
        <v>1392.8</v>
      </c>
      <c r="I48" s="9">
        <f t="shared" si="4"/>
        <v>9468.36</v>
      </c>
    </row>
    <row r="49" spans="1:9" x14ac:dyDescent="0.25">
      <c r="A49" s="33" t="s">
        <v>239</v>
      </c>
      <c r="B49" s="32" t="s">
        <v>4</v>
      </c>
      <c r="C49" s="6"/>
      <c r="D49" s="6" t="s">
        <v>24</v>
      </c>
      <c r="E49" s="7">
        <v>1</v>
      </c>
      <c r="F49" s="33" t="s">
        <v>240</v>
      </c>
      <c r="G49" s="8">
        <v>7691</v>
      </c>
      <c r="H49" s="8">
        <v>1392.8</v>
      </c>
      <c r="I49" s="9">
        <f t="shared" si="4"/>
        <v>9083.7999999999993</v>
      </c>
    </row>
    <row r="50" spans="1:9" x14ac:dyDescent="0.25">
      <c r="A50" s="33" t="s">
        <v>241</v>
      </c>
      <c r="B50" s="32" t="s">
        <v>4</v>
      </c>
      <c r="C50" s="6"/>
      <c r="D50" s="6" t="s">
        <v>24</v>
      </c>
      <c r="E50" s="7">
        <v>1</v>
      </c>
      <c r="F50" s="33" t="s">
        <v>109</v>
      </c>
      <c r="G50" s="8">
        <v>8299.11</v>
      </c>
      <c r="H50" s="8">
        <v>1392.8</v>
      </c>
      <c r="I50" s="9">
        <f t="shared" si="4"/>
        <v>9691.91</v>
      </c>
    </row>
    <row r="51" spans="1:9" x14ac:dyDescent="0.25">
      <c r="A51" s="33" t="s">
        <v>242</v>
      </c>
      <c r="B51" s="32" t="s">
        <v>4</v>
      </c>
      <c r="C51" s="6"/>
      <c r="D51" s="6" t="s">
        <v>24</v>
      </c>
      <c r="E51" s="7">
        <v>1</v>
      </c>
      <c r="F51" s="33" t="s">
        <v>277</v>
      </c>
      <c r="G51" s="8">
        <v>4902.3900000000003</v>
      </c>
      <c r="H51" s="8">
        <v>1392.8</v>
      </c>
      <c r="I51" s="9">
        <f t="shared" si="4"/>
        <v>6295.1900000000005</v>
      </c>
    </row>
    <row r="52" spans="1:9" x14ac:dyDescent="0.25">
      <c r="A52" s="33" t="s">
        <v>243</v>
      </c>
      <c r="B52" s="32" t="s">
        <v>4</v>
      </c>
      <c r="C52" s="6"/>
      <c r="D52" s="6" t="s">
        <v>24</v>
      </c>
      <c r="E52" s="7">
        <v>1</v>
      </c>
      <c r="F52" s="33" t="s">
        <v>111</v>
      </c>
      <c r="G52" s="8">
        <v>7691</v>
      </c>
      <c r="H52" s="8">
        <v>1392.8</v>
      </c>
      <c r="I52" s="9">
        <f t="shared" si="4"/>
        <v>9083.7999999999993</v>
      </c>
    </row>
    <row r="53" spans="1:9" x14ac:dyDescent="0.25">
      <c r="A53" s="33" t="s">
        <v>244</v>
      </c>
      <c r="B53" s="32" t="s">
        <v>4</v>
      </c>
      <c r="C53" s="6"/>
      <c r="D53" s="6" t="s">
        <v>24</v>
      </c>
      <c r="E53" s="7">
        <v>1</v>
      </c>
      <c r="F53" s="33" t="s">
        <v>215</v>
      </c>
      <c r="G53" s="8">
        <v>7691</v>
      </c>
      <c r="H53" s="8">
        <v>1392.8</v>
      </c>
      <c r="I53" s="9">
        <f t="shared" si="4"/>
        <v>9083.7999999999993</v>
      </c>
    </row>
    <row r="54" spans="1:9" x14ac:dyDescent="0.25">
      <c r="A54" s="33" t="s">
        <v>245</v>
      </c>
      <c r="B54" s="32" t="s">
        <v>4</v>
      </c>
      <c r="C54" s="6"/>
      <c r="D54" s="6" t="s">
        <v>24</v>
      </c>
      <c r="E54" s="7">
        <v>1</v>
      </c>
      <c r="F54" s="33" t="s">
        <v>216</v>
      </c>
      <c r="G54" s="8">
        <v>8075.56</v>
      </c>
      <c r="H54" s="8">
        <v>1392.8</v>
      </c>
      <c r="I54" s="9">
        <f t="shared" si="4"/>
        <v>9468.36</v>
      </c>
    </row>
    <row r="55" spans="1:9" x14ac:dyDescent="0.25">
      <c r="A55" s="33" t="s">
        <v>246</v>
      </c>
      <c r="B55" s="32" t="s">
        <v>4</v>
      </c>
      <c r="C55" s="6"/>
      <c r="D55" s="6" t="s">
        <v>24</v>
      </c>
      <c r="E55" s="7">
        <v>1</v>
      </c>
      <c r="F55" s="33" t="s">
        <v>112</v>
      </c>
      <c r="G55" s="8">
        <v>8075.56</v>
      </c>
      <c r="H55" s="8">
        <v>1392.8</v>
      </c>
      <c r="I55" s="9">
        <f t="shared" si="4"/>
        <v>9468.36</v>
      </c>
    </row>
    <row r="56" spans="1:9" x14ac:dyDescent="0.25">
      <c r="A56" s="33" t="s">
        <v>247</v>
      </c>
      <c r="B56" s="32" t="s">
        <v>4</v>
      </c>
      <c r="C56" s="6"/>
      <c r="D56" s="6" t="s">
        <v>24</v>
      </c>
      <c r="E56" s="7">
        <v>1</v>
      </c>
      <c r="F56" s="33" t="s">
        <v>219</v>
      </c>
      <c r="G56" s="8">
        <v>7691</v>
      </c>
      <c r="H56" s="8">
        <v>1392.8</v>
      </c>
      <c r="I56" s="9">
        <f t="shared" si="4"/>
        <v>9083.7999999999993</v>
      </c>
    </row>
    <row r="57" spans="1:9" x14ac:dyDescent="0.25">
      <c r="A57" s="33" t="s">
        <v>248</v>
      </c>
      <c r="B57" s="32" t="s">
        <v>4</v>
      </c>
      <c r="C57" s="6"/>
      <c r="D57" s="6" t="s">
        <v>24</v>
      </c>
      <c r="E57" s="7">
        <v>1</v>
      </c>
      <c r="F57" s="33" t="s">
        <v>113</v>
      </c>
      <c r="G57" s="8">
        <v>2295.89</v>
      </c>
      <c r="H57" s="8">
        <v>1392.8</v>
      </c>
      <c r="I57" s="9">
        <f t="shared" si="4"/>
        <v>3688.6899999999996</v>
      </c>
    </row>
    <row r="58" spans="1:9" x14ac:dyDescent="0.25">
      <c r="A58" s="33" t="s">
        <v>249</v>
      </c>
      <c r="B58" s="32" t="s">
        <v>4</v>
      </c>
      <c r="C58" s="6"/>
      <c r="D58" s="6" t="s">
        <v>24</v>
      </c>
      <c r="E58" s="7">
        <v>1</v>
      </c>
      <c r="F58" s="33" t="s">
        <v>114</v>
      </c>
      <c r="G58" s="8">
        <v>5125.45</v>
      </c>
      <c r="H58" s="8">
        <v>1392.8</v>
      </c>
      <c r="I58" s="9">
        <f>SUM(G58:H58)</f>
        <v>6518.25</v>
      </c>
    </row>
    <row r="59" spans="1:9" x14ac:dyDescent="0.25">
      <c r="A59" s="33" t="s">
        <v>250</v>
      </c>
      <c r="B59" s="32" t="s">
        <v>4</v>
      </c>
      <c r="C59" s="6"/>
      <c r="D59" s="6" t="s">
        <v>117</v>
      </c>
      <c r="E59" s="7">
        <v>1</v>
      </c>
      <c r="F59" s="33" t="s">
        <v>251</v>
      </c>
      <c r="G59" s="8">
        <v>0</v>
      </c>
      <c r="H59" s="8">
        <v>1392.8</v>
      </c>
      <c r="I59" s="9">
        <f t="shared" si="4"/>
        <v>1392.8</v>
      </c>
    </row>
    <row r="60" spans="1:9" x14ac:dyDescent="0.25">
      <c r="A60" s="33" t="s">
        <v>252</v>
      </c>
      <c r="B60" s="32" t="s">
        <v>4</v>
      </c>
      <c r="C60" s="6"/>
      <c r="D60" s="6" t="s">
        <v>24</v>
      </c>
      <c r="E60" s="7">
        <v>1</v>
      </c>
      <c r="F60" s="33" t="s">
        <v>115</v>
      </c>
      <c r="G60" s="8">
        <v>5933.35</v>
      </c>
      <c r="H60" s="8">
        <v>1392.8</v>
      </c>
      <c r="I60" s="9">
        <f t="shared" si="4"/>
        <v>7326.1500000000005</v>
      </c>
    </row>
    <row r="61" spans="1:9" x14ac:dyDescent="0.25">
      <c r="A61" s="33" t="s">
        <v>253</v>
      </c>
      <c r="B61" s="32" t="s">
        <v>4</v>
      </c>
      <c r="C61" s="6"/>
      <c r="D61" s="6" t="s">
        <v>24</v>
      </c>
      <c r="E61" s="7">
        <v>1</v>
      </c>
      <c r="F61" s="33" t="s">
        <v>220</v>
      </c>
      <c r="G61" s="8">
        <v>5125.45</v>
      </c>
      <c r="H61" s="8">
        <v>1392.8</v>
      </c>
      <c r="I61" s="9">
        <f t="shared" si="4"/>
        <v>6518.25</v>
      </c>
    </row>
    <row r="62" spans="1:9" x14ac:dyDescent="0.25">
      <c r="A62" s="33" t="s">
        <v>254</v>
      </c>
      <c r="B62" s="32" t="s">
        <v>4</v>
      </c>
      <c r="C62" s="6"/>
      <c r="D62" s="6" t="s">
        <v>24</v>
      </c>
      <c r="E62" s="7">
        <v>1</v>
      </c>
      <c r="F62" s="33" t="s">
        <v>116</v>
      </c>
      <c r="G62" s="8">
        <v>5404.89</v>
      </c>
      <c r="H62" s="8">
        <v>1392.8</v>
      </c>
      <c r="I62" s="9">
        <f t="shared" si="4"/>
        <v>6797.6900000000005</v>
      </c>
    </row>
    <row r="63" spans="1:9" x14ac:dyDescent="0.25">
      <c r="A63" s="33" t="s">
        <v>255</v>
      </c>
      <c r="B63" s="32" t="s">
        <v>4</v>
      </c>
      <c r="C63" s="6"/>
      <c r="D63" s="6" t="s">
        <v>24</v>
      </c>
      <c r="E63" s="7">
        <v>1</v>
      </c>
      <c r="F63" s="33" t="s">
        <v>221</v>
      </c>
      <c r="G63" s="8">
        <v>5298.9</v>
      </c>
      <c r="H63" s="8">
        <v>1392.8</v>
      </c>
      <c r="I63" s="9">
        <f t="shared" si="4"/>
        <v>6691.7</v>
      </c>
    </row>
    <row r="64" spans="1:9" x14ac:dyDescent="0.25">
      <c r="A64" s="33" t="s">
        <v>256</v>
      </c>
      <c r="B64" s="32" t="s">
        <v>4</v>
      </c>
      <c r="C64" s="6"/>
      <c r="D64" s="6" t="s">
        <v>117</v>
      </c>
      <c r="E64" s="7">
        <v>1</v>
      </c>
      <c r="F64" s="33" t="s">
        <v>257</v>
      </c>
      <c r="G64" s="8">
        <v>0</v>
      </c>
      <c r="H64" s="8">
        <v>1392.8</v>
      </c>
      <c r="I64" s="9">
        <f t="shared" si="4"/>
        <v>1392.8</v>
      </c>
    </row>
    <row r="65" spans="1:9" x14ac:dyDescent="0.25">
      <c r="A65" s="33" t="s">
        <v>258</v>
      </c>
      <c r="B65" s="32" t="s">
        <v>4</v>
      </c>
      <c r="C65" s="6"/>
      <c r="D65" s="6" t="s">
        <v>24</v>
      </c>
      <c r="E65" s="7">
        <v>1</v>
      </c>
      <c r="F65" s="33" t="s">
        <v>232</v>
      </c>
      <c r="G65" s="8">
        <v>8075.56</v>
      </c>
      <c r="H65" s="8">
        <v>1392.8</v>
      </c>
      <c r="I65" s="9">
        <f t="shared" si="4"/>
        <v>9468.36</v>
      </c>
    </row>
    <row r="66" spans="1:9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33" t="s">
        <v>118</v>
      </c>
      <c r="G66" s="8">
        <v>8479.33</v>
      </c>
      <c r="H66" s="8">
        <v>849.76</v>
      </c>
      <c r="I66" s="9">
        <f t="shared" si="4"/>
        <v>9329.09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si="4"/>
        <v>6524.89</v>
      </c>
    </row>
    <row r="69" spans="1:9" x14ac:dyDescent="0.25">
      <c r="A69" s="33" t="s">
        <v>260</v>
      </c>
      <c r="B69" s="32" t="s">
        <v>6</v>
      </c>
      <c r="C69" s="6"/>
      <c r="D69" s="6" t="s">
        <v>24</v>
      </c>
      <c r="E69" s="7">
        <v>1</v>
      </c>
      <c r="F69" s="33" t="s">
        <v>119</v>
      </c>
      <c r="G69" s="8">
        <v>2531.2199999999998</v>
      </c>
      <c r="H69" s="8">
        <v>505.81</v>
      </c>
      <c r="I69" s="9">
        <f t="shared" si="4"/>
        <v>3037.0299999999997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4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4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4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261</v>
      </c>
      <c r="G73" s="8">
        <v>5650.81</v>
      </c>
      <c r="H73" s="8">
        <v>505.81</v>
      </c>
      <c r="I73" s="9">
        <f t="shared" si="4"/>
        <v>6156.6200000000008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4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4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117</v>
      </c>
      <c r="E76" s="7">
        <v>1</v>
      </c>
      <c r="F76" s="31" t="s">
        <v>226</v>
      </c>
      <c r="G76" s="8">
        <v>0</v>
      </c>
      <c r="H76" s="8">
        <v>465.35</v>
      </c>
      <c r="I76" s="9">
        <f t="shared" si="4"/>
        <v>465.35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4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263</v>
      </c>
      <c r="G78" s="8">
        <v>5563.85</v>
      </c>
      <c r="H78" s="8">
        <v>465.35</v>
      </c>
      <c r="I78" s="9">
        <f t="shared" si="4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4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4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22</v>
      </c>
      <c r="D82" s="16">
        <v>1</v>
      </c>
      <c r="E82" s="16">
        <v>23</v>
      </c>
      <c r="F82" s="17"/>
      <c r="G82" s="9">
        <f>SUMIF($B$49:$B$68,"FGS-1",$G$49:$G$68)</f>
        <v>97376.109999999986</v>
      </c>
      <c r="H82" s="9">
        <f>SUMIF($B$49:$B$68,"FGS-1",$H$49:$H$68)</f>
        <v>23677.599999999991</v>
      </c>
      <c r="I82" s="9">
        <f>SUMIF($B$49:$B$68,"FGS-1",$I$49:$I$68)</f>
        <v>121053.71</v>
      </c>
    </row>
    <row r="83" spans="1:9" x14ac:dyDescent="0.25">
      <c r="A83" s="15" t="s">
        <v>129</v>
      </c>
      <c r="B83" s="28" t="s">
        <v>130</v>
      </c>
      <c r="C83" s="16">
        <f>SUMIFS($E$49:$E$83,$B$49:$B$83,"FGS-2",$D$49:$D$83,"&lt;&gt;VAGO")</f>
        <v>3</v>
      </c>
      <c r="D83" s="16">
        <f>SUMIFS($E$49:$E$83,$B$49:$B$83,"FGS-2",$D$49:$D$83,"VAGO")</f>
        <v>0</v>
      </c>
      <c r="E83" s="16">
        <f t="shared" ref="E83:E87" si="5">C83+D83</f>
        <v>3</v>
      </c>
      <c r="F83" s="20"/>
      <c r="G83" s="9">
        <f>SUMIF($B$69:$B$71,"FGS-2",$G$69:$G$71)</f>
        <v>0</v>
      </c>
      <c r="H83" s="9">
        <f>SUMIF($B$69:$B$71,"FGS-2",$H$69:$H$71)</f>
        <v>0</v>
      </c>
      <c r="I83" s="9">
        <f>SUMIF($B$69:$B$71,"FGS-2",$I$69:$I$71)</f>
        <v>0</v>
      </c>
    </row>
    <row r="84" spans="1:9" x14ac:dyDescent="0.25">
      <c r="A84" s="15" t="s">
        <v>131</v>
      </c>
      <c r="B84" s="28" t="s">
        <v>132</v>
      </c>
      <c r="C84" s="16">
        <f>SUMIFS($E$49:$E$83,$B$49:$B$83,"FGS-3",$D$49:$D$83,"&lt;&gt;VAGO")</f>
        <v>0</v>
      </c>
      <c r="D84" s="16">
        <f>SUMIFS($E$49:$E$83,$B$49:$B$83,"FGS-3",$D$49:$D$83,"VAGO")</f>
        <v>0</v>
      </c>
      <c r="E84" s="16">
        <f t="shared" si="5"/>
        <v>0</v>
      </c>
      <c r="F84" s="20"/>
      <c r="G84" s="9">
        <f>SUMIF($B$49:$B$83,"FGS-3",$G$49:$G$83)</f>
        <v>0</v>
      </c>
      <c r="H84" s="9">
        <f>SUMIF($B$49:$B$83,"FGS-3",$G$49:$G$83)</f>
        <v>0</v>
      </c>
      <c r="I84" s="9">
        <f>SUMIF($B$49:$B$83,"FGS-3",$G$49:$G$83)</f>
        <v>0</v>
      </c>
    </row>
    <row r="85" spans="1:9" x14ac:dyDescent="0.25">
      <c r="A85" s="21" t="s">
        <v>133</v>
      </c>
      <c r="B85" s="34" t="s">
        <v>134</v>
      </c>
      <c r="C85" s="16">
        <f>SUMIFS($E$49:$E$83,$B$49:$B$83,"FGA-1",$D$49:$D$83,"&lt;&gt;VAGO")</f>
        <v>5</v>
      </c>
      <c r="D85" s="16">
        <f>SUMIFS($E$49:$E$83,$B$49:$B$83,"FGA-1",$D$49:$D$83,"VAGO")</f>
        <v>0</v>
      </c>
      <c r="E85" s="16">
        <f t="shared" si="5"/>
        <v>5</v>
      </c>
      <c r="F85" s="22"/>
      <c r="G85" s="9">
        <f>SUMIF($B$72:$B$76,"FGA-1",$G$72:$G$76)</f>
        <v>5650.81</v>
      </c>
      <c r="H85" s="9">
        <f>SUMIF($B$72:$B$76,"FGA-1",$H$72:$H$76)</f>
        <v>1011.62</v>
      </c>
      <c r="I85" s="9">
        <f>SUMIF($B$72:$B$76,"FGA-1",$I$72:$I$76)</f>
        <v>6662.4300000000012</v>
      </c>
    </row>
    <row r="86" spans="1:9" x14ac:dyDescent="0.25">
      <c r="A86" s="15" t="s">
        <v>135</v>
      </c>
      <c r="B86" s="28" t="s">
        <v>7</v>
      </c>
      <c r="C86" s="16">
        <f>SUMIFS($E$49:$E$83,$B$49:$B$83,"FGA-2",$D$49:$D$83,"&lt;&gt;VAGO")</f>
        <v>7</v>
      </c>
      <c r="D86" s="16">
        <f>SUMIFS($E$49:$E$83,$B$49:$B$83,"FGA-2",$D$49:$D$83,"VAGO")</f>
        <v>0</v>
      </c>
      <c r="E86" s="16">
        <f t="shared" si="5"/>
        <v>7</v>
      </c>
      <c r="F86" s="22"/>
      <c r="G86" s="9">
        <f>SUMIF($B$77:$B$83,"FGA-2",$G$77:$G$83)</f>
        <v>10004.1</v>
      </c>
      <c r="H86" s="9">
        <f>SUMIF($B$77:$B$83,"FGA-2",$H$77:$H$83)</f>
        <v>1861.4</v>
      </c>
      <c r="I86" s="9">
        <f>SUMIF($B$77:$B$83,"FGA-2",$I$77:$I$83)</f>
        <v>11865.500000000002</v>
      </c>
    </row>
    <row r="87" spans="1:9" x14ac:dyDescent="0.25">
      <c r="A87" s="15" t="s">
        <v>136</v>
      </c>
      <c r="B87" s="28" t="s">
        <v>137</v>
      </c>
      <c r="C87" s="16">
        <f>SUMIFS($E$49:$E$83,$B$49:$B$83,"FGA-3",$D$49:$D$83,"&lt;&gt;VAGO")</f>
        <v>0</v>
      </c>
      <c r="D87" s="16">
        <f>SUMIFS($E$49:$E$83,$B$49:$B$83,"FGA-3",$D$49:$D$83,"VAGO")</f>
        <v>0</v>
      </c>
      <c r="E87" s="16">
        <f t="shared" si="5"/>
        <v>0</v>
      </c>
      <c r="F87" s="20"/>
      <c r="G87" s="9">
        <f>SUMIF($B$49:$B$83,"FGA-3",$G$49:$G$83)</f>
        <v>0</v>
      </c>
      <c r="H87" s="9">
        <f>SUMIF($B$49:$B$83,"FGA-3",$G$49:$G$83)</f>
        <v>0</v>
      </c>
      <c r="I87" s="9">
        <f>SUMIF($B$49:$B$83,"FGA-3",$G$49:$G$83)</f>
        <v>0</v>
      </c>
    </row>
    <row r="88" spans="1:9" ht="30" x14ac:dyDescent="0.25">
      <c r="A88" s="12" t="s">
        <v>138</v>
      </c>
      <c r="B88" s="27"/>
      <c r="C88" s="13">
        <f t="shared" ref="C88:E88" si="6">SUM(C82:C87)</f>
        <v>37</v>
      </c>
      <c r="D88" s="13">
        <f t="shared" si="6"/>
        <v>1</v>
      </c>
      <c r="E88" s="13">
        <f t="shared" si="6"/>
        <v>38</v>
      </c>
      <c r="F88" s="27"/>
      <c r="G88" s="29">
        <f>SUM(G82:G87)</f>
        <v>113031.01999999999</v>
      </c>
      <c r="H88" s="29">
        <f>SUM(H82:H87)</f>
        <v>26550.619999999992</v>
      </c>
      <c r="I88" s="29">
        <f>SUM(I82:I87)</f>
        <v>139581.64000000001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f ca="1">SUM(C26+C40+C88)</f>
        <v>46</v>
      </c>
      <c r="D91" s="13">
        <f ca="1">SUM(D26+D40+D88)</f>
        <v>0</v>
      </c>
      <c r="E91" s="13">
        <f ca="1">SUM(E26+E40+E88)</f>
        <v>46</v>
      </c>
      <c r="F91" s="14"/>
      <c r="G91" s="29">
        <f ca="1">SUM(H26+G40+G88)</f>
        <v>185959.39</v>
      </c>
      <c r="H91" s="29">
        <f ca="1">SUM(I26+H40+H88)</f>
        <v>68541.39</v>
      </c>
      <c r="I91" s="29">
        <f ca="1">SUM(J26+I40+I88)</f>
        <v>254500.78000000003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28"/>
      <c r="C93" s="128"/>
      <c r="D93" s="128"/>
      <c r="E93" s="128"/>
      <c r="F93" s="129"/>
      <c r="G93" s="10"/>
      <c r="H93" s="19"/>
      <c r="I93" s="19"/>
    </row>
    <row r="94" spans="1:9" x14ac:dyDescent="0.25">
      <c r="A94" s="131" t="s">
        <v>147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31" t="s">
        <v>148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149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150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151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228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24" t="s">
        <v>234</v>
      </c>
      <c r="B100" s="125"/>
      <c r="C100" s="125"/>
      <c r="D100" s="125"/>
      <c r="E100" s="125"/>
      <c r="F100" s="126"/>
      <c r="G100" s="10"/>
      <c r="H100" s="19"/>
      <c r="I100" s="19"/>
    </row>
    <row r="101" spans="1:9" x14ac:dyDescent="0.25">
      <c r="A101" s="124" t="s">
        <v>265</v>
      </c>
      <c r="B101" s="125"/>
      <c r="C101" s="125"/>
      <c r="D101" s="125"/>
      <c r="E101" s="125"/>
      <c r="F101" s="126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3"/>
      <c r="B103" s="128"/>
      <c r="C103" s="128"/>
      <c r="D103" s="128"/>
      <c r="E103" s="128"/>
      <c r="F103" s="129"/>
      <c r="G103" s="10"/>
      <c r="H103" s="19"/>
      <c r="I103" s="19"/>
    </row>
    <row r="104" spans="1:9" x14ac:dyDescent="0.25">
      <c r="A104" s="133"/>
      <c r="B104" s="128"/>
      <c r="C104" s="128"/>
      <c r="D104" s="128"/>
      <c r="E104" s="128"/>
      <c r="F104" s="129"/>
      <c r="G104" s="10"/>
      <c r="H104" s="19"/>
      <c r="I104" s="19"/>
    </row>
    <row r="105" spans="1:9" x14ac:dyDescent="0.25">
      <c r="A105" s="134"/>
      <c r="B105" s="135"/>
      <c r="C105" s="135"/>
      <c r="D105" s="135"/>
      <c r="E105" s="135"/>
      <c r="F105" s="136"/>
      <c r="G105" s="10"/>
      <c r="H105" s="19"/>
      <c r="I105" s="19"/>
    </row>
    <row r="106" spans="1:9" x14ac:dyDescent="0.25">
      <c r="A106" s="137"/>
      <c r="B106" s="138"/>
      <c r="C106" s="138"/>
      <c r="D106" s="138"/>
      <c r="E106" s="138"/>
      <c r="F106" s="138"/>
      <c r="G106" s="10"/>
      <c r="H106" s="19"/>
      <c r="I106" s="19"/>
    </row>
    <row r="107" spans="1:9" x14ac:dyDescent="0.25">
      <c r="A107" s="139" t="s">
        <v>152</v>
      </c>
      <c r="B107" s="140"/>
      <c r="C107" s="140"/>
      <c r="D107" s="140"/>
      <c r="E107" s="140"/>
      <c r="F107" s="141"/>
      <c r="G107" s="10"/>
      <c r="H107" s="19"/>
      <c r="I107" s="19"/>
    </row>
    <row r="108" spans="1:9" x14ac:dyDescent="0.25">
      <c r="A108" s="142" t="s">
        <v>153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154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155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156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157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158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159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160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161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162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163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164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165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166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167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168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169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170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171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172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173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174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175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176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177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178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179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180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181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182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183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184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185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186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187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188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189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190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191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192</v>
      </c>
      <c r="B147" s="128"/>
      <c r="C147" s="128"/>
      <c r="D147" s="128"/>
      <c r="E147" s="128"/>
      <c r="F147" s="129"/>
      <c r="G147" s="10"/>
      <c r="H147" s="19"/>
      <c r="I147" s="19"/>
    </row>
    <row r="148" spans="1:9" x14ac:dyDescent="0.25">
      <c r="A148" s="132" t="s">
        <v>193</v>
      </c>
      <c r="B148" s="128"/>
      <c r="C148" s="128"/>
      <c r="D148" s="128"/>
      <c r="E148" s="128"/>
      <c r="F148" s="129"/>
      <c r="G148" s="10"/>
      <c r="H148" s="19"/>
      <c r="I148" s="19"/>
    </row>
    <row r="149" spans="1:9" x14ac:dyDescent="0.25">
      <c r="A149" s="132" t="s">
        <v>194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195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196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197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198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199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200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201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202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203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204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205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206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207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208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209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210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211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132" t="s">
        <v>212</v>
      </c>
      <c r="B167" s="128"/>
      <c r="C167" s="128"/>
      <c r="D167" s="128"/>
      <c r="E167" s="128"/>
      <c r="F167" s="129"/>
      <c r="G167" s="35"/>
      <c r="H167" s="35"/>
      <c r="I167" s="35"/>
    </row>
    <row r="168" spans="1:9" x14ac:dyDescent="0.25">
      <c r="A168" s="132" t="s">
        <v>213</v>
      </c>
      <c r="B168" s="128"/>
      <c r="C168" s="128"/>
      <c r="D168" s="128"/>
      <c r="E168" s="128"/>
      <c r="F168" s="12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1" spans="1:9" x14ac:dyDescent="0.25">
      <c r="A171" t="s">
        <v>278</v>
      </c>
    </row>
    <row r="172" spans="1:9" x14ac:dyDescent="0.25">
      <c r="A172" t="s">
        <v>279</v>
      </c>
    </row>
    <row r="175" spans="1:9" x14ac:dyDescent="0.25">
      <c r="A175" s="39" t="s">
        <v>280</v>
      </c>
    </row>
    <row r="176" spans="1:9" x14ac:dyDescent="0.25">
      <c r="A176" s="40" t="s">
        <v>10</v>
      </c>
    </row>
    <row r="177" spans="1:1" x14ac:dyDescent="0.25">
      <c r="A177" s="39" t="s">
        <v>235</v>
      </c>
    </row>
  </sheetData>
  <mergeCells count="83">
    <mergeCell ref="A1:J1"/>
    <mergeCell ref="A2:J2"/>
    <mergeCell ref="A3:J3"/>
    <mergeCell ref="B4:J4"/>
    <mergeCell ref="A167:F167"/>
    <mergeCell ref="A160:F160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68:F168"/>
    <mergeCell ref="A161:F161"/>
    <mergeCell ref="A162:F162"/>
    <mergeCell ref="A163:F163"/>
    <mergeCell ref="A164:F164"/>
    <mergeCell ref="A165:F165"/>
    <mergeCell ref="A166:F166"/>
    <mergeCell ref="A159:F159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00:F100"/>
    <mergeCell ref="A5:J5"/>
    <mergeCell ref="A28:I28"/>
    <mergeCell ref="A42:I42"/>
    <mergeCell ref="A93:F93"/>
    <mergeCell ref="A94:F94"/>
    <mergeCell ref="A95:F95"/>
    <mergeCell ref="A96:F96"/>
    <mergeCell ref="A97:F97"/>
    <mergeCell ref="A98:F98"/>
    <mergeCell ref="A99:F99"/>
  </mergeCells>
  <dataValidations count="4">
    <dataValidation type="list" allowBlank="1" sqref="D44:D80 D30:D33 D7:D13" xr:uid="{1DD5D646-ED6D-4A7C-8670-71A6457EF25C}">
      <formula1>"AGP,CLH,CLT,COM,CTD,CTI,DES,DISP,ELE,ESG,EST,EXM,EXQ,EXR,FRQ,REV,VAGO"</formula1>
    </dataValidation>
    <dataValidation type="list" allowBlank="1" sqref="B44:B80" xr:uid="{60628F9F-837A-4253-B188-25309315D0A0}">
      <formula1>"FGS-1,FGS-2,FGS-3,FGA-1,FGA-2,FGA-3"</formula1>
    </dataValidation>
    <dataValidation type="list" allowBlank="1" sqref="B30:B33" xr:uid="{30ECB0F6-F603-4D64-8298-00DD12997788}">
      <formula1>"FDA,FDA-1,FDA-2,FDA-3,FDA-4"</formula1>
    </dataValidation>
    <dataValidation type="list" allowBlank="1" sqref="B7:B13" xr:uid="{7274B633-7F33-479B-B57A-41BFB045D69F}">
      <formula1>"DAS,DAS-1,DAS-2,DAS-3,DAS-4,DAS-5,CAA-1,CAA-2,CAA-3,CAA-4,CAA-5"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4184-3E8E-4968-B68E-837FDB7FA68D}">
  <dimension ref="A1:AA177"/>
  <sheetViews>
    <sheetView workbookViewId="0">
      <selection activeCell="A2" sqref="A2:J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91.7109375" customWidth="1"/>
    <col min="7" max="7" width="15.7109375" customWidth="1"/>
    <col min="8" max="8" width="13.5703125" customWidth="1"/>
    <col min="9" max="9" width="15.28515625" customWidth="1"/>
    <col min="10" max="10" width="16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369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1" t="s">
        <v>353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3" t="s">
        <v>18</v>
      </c>
      <c r="G6" s="4" t="s">
        <v>19</v>
      </c>
      <c r="H6" s="4" t="s">
        <v>20</v>
      </c>
      <c r="I6" s="4" t="s">
        <v>21</v>
      </c>
      <c r="J6" s="4" t="s">
        <v>281</v>
      </c>
    </row>
    <row r="7" spans="1:27" x14ac:dyDescent="0.25">
      <c r="A7" s="11" t="s">
        <v>282</v>
      </c>
      <c r="B7" s="5" t="s">
        <v>0</v>
      </c>
      <c r="C7" s="6" t="s">
        <v>283</v>
      </c>
      <c r="D7" s="6" t="s">
        <v>24</v>
      </c>
      <c r="E7" s="49">
        <v>1</v>
      </c>
      <c r="F7" s="50" t="s">
        <v>284</v>
      </c>
      <c r="G7" s="51">
        <v>0</v>
      </c>
      <c r="H7" s="51">
        <v>8479.33</v>
      </c>
      <c r="I7" s="51">
        <v>9360</v>
      </c>
      <c r="J7" s="52">
        <v>17839.330000000002</v>
      </c>
    </row>
    <row r="8" spans="1:27" x14ac:dyDescent="0.25">
      <c r="A8" s="11" t="s">
        <v>285</v>
      </c>
      <c r="B8" s="5" t="s">
        <v>2</v>
      </c>
      <c r="C8" s="6" t="s">
        <v>27</v>
      </c>
      <c r="D8" s="6" t="s">
        <v>28</v>
      </c>
      <c r="E8" s="49">
        <v>1</v>
      </c>
      <c r="F8" s="50" t="s">
        <v>286</v>
      </c>
      <c r="G8" s="51">
        <v>0</v>
      </c>
      <c r="H8" s="51">
        <v>0</v>
      </c>
      <c r="I8" s="51">
        <v>0</v>
      </c>
      <c r="J8" s="52">
        <f ca="1">SUMIF($B$13:$B$16,"DAS",$I$13:$I$16)</f>
        <v>0</v>
      </c>
    </row>
    <row r="9" spans="1:27" x14ac:dyDescent="0.25">
      <c r="A9" s="11" t="s">
        <v>38</v>
      </c>
      <c r="B9" s="6" t="s">
        <v>2</v>
      </c>
      <c r="C9" s="6" t="s">
        <v>39</v>
      </c>
      <c r="D9" s="6" t="s">
        <v>28</v>
      </c>
      <c r="E9" s="49">
        <v>1</v>
      </c>
      <c r="F9" s="50" t="s">
        <v>287</v>
      </c>
      <c r="G9" s="51">
        <v>0</v>
      </c>
      <c r="H9" s="51">
        <v>0</v>
      </c>
      <c r="I9" s="51">
        <v>0</v>
      </c>
      <c r="J9" s="52">
        <f ca="1">SUMIF($B$13:$B$16,"DAS",$I$13:$I$16)</f>
        <v>0</v>
      </c>
    </row>
    <row r="10" spans="1:27" x14ac:dyDescent="0.25">
      <c r="A10" s="11" t="s">
        <v>288</v>
      </c>
      <c r="B10" s="5" t="s">
        <v>8</v>
      </c>
      <c r="C10" s="6" t="s">
        <v>37</v>
      </c>
      <c r="D10" s="6" t="s">
        <v>28</v>
      </c>
      <c r="E10" s="49">
        <v>1</v>
      </c>
      <c r="F10" s="50" t="s">
        <v>289</v>
      </c>
      <c r="G10" s="51">
        <v>0</v>
      </c>
      <c r="H10" s="51">
        <v>0</v>
      </c>
      <c r="I10" s="51">
        <v>0</v>
      </c>
      <c r="J10" s="52">
        <f t="shared" ref="J10:J13" ca="1" si="0">SUMIF($B$13:$B$16,"DAS",$I$13:$I$16)</f>
        <v>0</v>
      </c>
    </row>
    <row r="11" spans="1:27" x14ac:dyDescent="0.25">
      <c r="A11" s="11" t="s">
        <v>290</v>
      </c>
      <c r="B11" s="5" t="s">
        <v>8</v>
      </c>
      <c r="C11" s="6" t="s">
        <v>35</v>
      </c>
      <c r="D11" s="6" t="s">
        <v>28</v>
      </c>
      <c r="E11" s="49">
        <v>1</v>
      </c>
      <c r="F11" s="50" t="s">
        <v>291</v>
      </c>
      <c r="G11" s="51">
        <v>0</v>
      </c>
      <c r="H11" s="51">
        <v>0</v>
      </c>
      <c r="I11" s="51">
        <v>0</v>
      </c>
      <c r="J11" s="52">
        <f t="shared" ca="1" si="0"/>
        <v>0</v>
      </c>
    </row>
    <row r="12" spans="1:27" x14ac:dyDescent="0.25">
      <c r="A12" s="11" t="s">
        <v>268</v>
      </c>
      <c r="B12" s="5" t="s">
        <v>9</v>
      </c>
      <c r="C12" s="6" t="s">
        <v>30</v>
      </c>
      <c r="D12" s="6" t="s">
        <v>28</v>
      </c>
      <c r="E12" s="49">
        <v>1</v>
      </c>
      <c r="F12" s="50" t="s">
        <v>292</v>
      </c>
      <c r="G12" s="51">
        <v>0</v>
      </c>
      <c r="H12" s="51">
        <v>0</v>
      </c>
      <c r="I12" s="51">
        <v>0</v>
      </c>
      <c r="J12" s="52">
        <f t="shared" ca="1" si="0"/>
        <v>0</v>
      </c>
    </row>
    <row r="13" spans="1:27" x14ac:dyDescent="0.25">
      <c r="A13" s="11" t="s">
        <v>31</v>
      </c>
      <c r="B13" s="5" t="s">
        <v>32</v>
      </c>
      <c r="C13" s="6" t="s">
        <v>33</v>
      </c>
      <c r="D13" s="6" t="s">
        <v>28</v>
      </c>
      <c r="E13" s="49">
        <v>1</v>
      </c>
      <c r="F13" s="50" t="s">
        <v>293</v>
      </c>
      <c r="G13" s="51">
        <v>0</v>
      </c>
      <c r="H13" s="51">
        <v>0</v>
      </c>
      <c r="I13" s="51">
        <v>0</v>
      </c>
      <c r="J13" s="52">
        <f t="shared" ca="1" si="0"/>
        <v>0</v>
      </c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53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SUMIFS($E$13:$E$16,$B$13:$B$16,"DAS",$D$13:$D$16,"&lt;&gt;VAGO")</f>
        <v>0</v>
      </c>
      <c r="D15" s="16">
        <f ca="1">SUMIFS($E$13:$E$16,$B$13:$B$16,"DAS",$D$13:$D$16,"VAGO")</f>
        <v>0</v>
      </c>
      <c r="E15" s="16">
        <f t="shared" ref="E15:E25" ca="1" si="1">C15+D15</f>
        <v>0</v>
      </c>
      <c r="F15" s="17"/>
      <c r="G15" s="18">
        <f ca="1">SUMIF($B$13:$B$16,"DAS",$G$13:$G$16)</f>
        <v>0</v>
      </c>
      <c r="H15" s="18">
        <f ca="1">SUMIF($B$13:$B$16,"DAS",$H$13:$H$16)</f>
        <v>0</v>
      </c>
      <c r="I15" s="18">
        <f ca="1">SUMIF($B$13:$B$16,"DAS",$I$13:$I$16)</f>
        <v>0</v>
      </c>
    </row>
    <row r="16" spans="1:27" x14ac:dyDescent="0.25">
      <c r="A16" s="15" t="s">
        <v>50</v>
      </c>
      <c r="B16" s="7" t="s">
        <v>0</v>
      </c>
      <c r="C16" s="16">
        <v>1</v>
      </c>
      <c r="D16" s="16">
        <f ca="1">SUMIFS($E$13:$E$16,$B$13:$B$16,"DAS-1",$D$13:$D$16,"VAGO")</f>
        <v>0</v>
      </c>
      <c r="E16" s="16">
        <f t="shared" ca="1" si="1"/>
        <v>1</v>
      </c>
      <c r="F16" s="20"/>
      <c r="G16" s="18">
        <f ca="1">SUMIF($B$13:$B$16,"DAS-1",$G$13:$G$16)</f>
        <v>0</v>
      </c>
      <c r="H16" s="18">
        <f t="shared" ref="H16:I16" ca="1" si="2">SUMIF($B$13:$B$16,"DAS",$H$13:$H$16)</f>
        <v>0</v>
      </c>
      <c r="I16" s="18">
        <f t="shared" ca="1" si="2"/>
        <v>0</v>
      </c>
    </row>
    <row r="17" spans="1:9" x14ac:dyDescent="0.25">
      <c r="A17" s="15" t="s">
        <v>51</v>
      </c>
      <c r="B17" s="7" t="s">
        <v>52</v>
      </c>
      <c r="C17" s="16">
        <f>SUMIFS($E$13:$E$16,$B$13:$B$16,"DAS-2",$D$13:$D$16,"&lt;&gt;VAGO")</f>
        <v>0</v>
      </c>
      <c r="D17" s="16">
        <v>0</v>
      </c>
      <c r="E17" s="16">
        <f t="shared" si="1"/>
        <v>0</v>
      </c>
      <c r="F17" s="20"/>
      <c r="G17" s="18">
        <f>SUMIF($B$13:$B$16,"DAS-2",$G$13:$G$16)</f>
        <v>0</v>
      </c>
      <c r="H17" s="18">
        <f>SUMIF($B$13:$B$16,"DAS-2",$H$13:$H$16)</f>
        <v>0</v>
      </c>
      <c r="I17" s="18">
        <f>SUMIF($B$13:$B$16,"DAS-2",$I$13:$I$16)</f>
        <v>0</v>
      </c>
    </row>
    <row r="18" spans="1:9" x14ac:dyDescent="0.25">
      <c r="A18" s="15" t="s">
        <v>53</v>
      </c>
      <c r="B18" s="7" t="s">
        <v>54</v>
      </c>
      <c r="C18" s="16">
        <f>SUMIFS($E$13:$E$16,$B$13:$B$16,"DAS-3",$D$13:$D$16,"&lt;&gt;VAGO")</f>
        <v>0</v>
      </c>
      <c r="D18" s="16">
        <f>SUMIFS($E$13:$E$16,$B$13:$B$16,"DAS-3",$D$13:$D$16,"VAGO")</f>
        <v>0</v>
      </c>
      <c r="E18" s="16">
        <f t="shared" si="1"/>
        <v>0</v>
      </c>
      <c r="F18" s="20"/>
      <c r="G18" s="18">
        <f>SUMIF($B$13:$B$16,"DAS-3",$G$13:$G$16)</f>
        <v>0</v>
      </c>
      <c r="H18" s="18">
        <f>SUMIF($B$13:$B$16,"DAS-3",$H$13:$H$16)</f>
        <v>0</v>
      </c>
      <c r="I18" s="18">
        <f>SUMIF($B$13:$B$16,"DAS-3",$I$13:$I$16)</f>
        <v>0</v>
      </c>
    </row>
    <row r="19" spans="1:9" x14ac:dyDescent="0.25">
      <c r="A19" s="21" t="s">
        <v>55</v>
      </c>
      <c r="B19" s="7" t="s">
        <v>56</v>
      </c>
      <c r="C19" s="16">
        <f>SUMIFS($E$13:$E$16,$B$13:$B$16,"DAS-4",$D$13:$D$16,"&lt;&gt;VAGO")</f>
        <v>0</v>
      </c>
      <c r="D19" s="16">
        <f>SUMIFS($E$13:$E$16,$B$13:$B$16,"DAS-4",$D$13:$D$16,"VAGO")</f>
        <v>0</v>
      </c>
      <c r="E19" s="16">
        <f t="shared" si="1"/>
        <v>0</v>
      </c>
      <c r="F19" s="22"/>
      <c r="G19" s="18">
        <f>SUMIF($B$13:$B$16,"DAS-4",$G$13:$G$16)</f>
        <v>0</v>
      </c>
      <c r="H19" s="18">
        <f>SUMIF($B$13:$B$16,"DAS-4",$H$13:$H$16)</f>
        <v>0</v>
      </c>
      <c r="I19" s="18">
        <f>SUMIF($B$13:$B$16,"DAS-4",$I$13:$I$16)</f>
        <v>0</v>
      </c>
    </row>
    <row r="20" spans="1:9" x14ac:dyDescent="0.25">
      <c r="A20" s="21" t="s">
        <v>57</v>
      </c>
      <c r="B20" s="7" t="s">
        <v>2</v>
      </c>
      <c r="C20" s="16">
        <v>0</v>
      </c>
      <c r="D20" s="16">
        <v>2</v>
      </c>
      <c r="E20" s="16">
        <v>2</v>
      </c>
      <c r="F20" s="22"/>
      <c r="G20" s="18">
        <f>SUMIF($B$13:$B$16,"DAS-5",$G$13:$G$16)</f>
        <v>0</v>
      </c>
      <c r="H20" s="18">
        <f>SUMIF($B$13:$B$16,"DAS-5",$H$13:$H$16)</f>
        <v>0</v>
      </c>
      <c r="I20" s="18">
        <f>SUMIF($B$13:$B$16,"DAS-5",$I$13:$I$16)</f>
        <v>0</v>
      </c>
    </row>
    <row r="21" spans="1:9" x14ac:dyDescent="0.25">
      <c r="A21" s="21" t="s">
        <v>58</v>
      </c>
      <c r="B21" s="7" t="s">
        <v>59</v>
      </c>
      <c r="C21" s="16">
        <f>SUMIFS($E$13:$E$16,$B$13:$B$16,"CAA-1",$D$13:$D$16,"&lt;&gt;VAGO")</f>
        <v>0</v>
      </c>
      <c r="D21" s="16">
        <f>SUMIFS($E$13:$E$16,$B$13:$B$16,"CAA-1",$D$13:$D$16,"VAGO")</f>
        <v>0</v>
      </c>
      <c r="E21" s="16">
        <f t="shared" si="1"/>
        <v>0</v>
      </c>
      <c r="F21" s="22"/>
      <c r="G21" s="18">
        <f>SUMIF($B$13:$B$16,"CAA-1",$G$13:$G$16)</f>
        <v>0</v>
      </c>
      <c r="H21" s="18">
        <f>SUMIF($B$13:$B$16,"CAA-1",$H$13:$H$16)</f>
        <v>0</v>
      </c>
      <c r="I21" s="18">
        <f>SUMIF($B$13:$B$16,"CAA-1",$I$13:$I$16)</f>
        <v>0</v>
      </c>
    </row>
    <row r="22" spans="1:9" x14ac:dyDescent="0.25">
      <c r="A22" s="21" t="s">
        <v>60</v>
      </c>
      <c r="B22" s="7" t="s">
        <v>8</v>
      </c>
      <c r="C22" s="16">
        <v>0</v>
      </c>
      <c r="D22" s="16">
        <v>2</v>
      </c>
      <c r="E22" s="16">
        <v>2</v>
      </c>
      <c r="F22" s="22"/>
      <c r="G22" s="18">
        <f>SUMIF($B$13:$B$16,"CAA-2",$G$13:$G$16)</f>
        <v>0</v>
      </c>
      <c r="H22" s="18">
        <f>SUMIF($B$13:$B$16,"CAA-2",$H$13:$H$16)</f>
        <v>0</v>
      </c>
      <c r="I22" s="18">
        <f>SUMIF($B$13:$B$16,"CAA-2",$I$13:$I$16)</f>
        <v>0</v>
      </c>
    </row>
    <row r="23" spans="1:9" x14ac:dyDescent="0.25">
      <c r="A23" s="21" t="s">
        <v>61</v>
      </c>
      <c r="B23" s="7" t="s">
        <v>9</v>
      </c>
      <c r="C23" s="16">
        <v>0</v>
      </c>
      <c r="D23" s="16">
        <v>1</v>
      </c>
      <c r="E23" s="16">
        <f t="shared" si="1"/>
        <v>1</v>
      </c>
      <c r="F23" s="20" t="s">
        <v>269</v>
      </c>
      <c r="G23" s="18">
        <f>SUMIF($B$13:$B$16,"CAA-3",$G$13:$G$16)</f>
        <v>0</v>
      </c>
      <c r="H23" s="18">
        <f>SUMIF($B$13:$B$16,"CAA-3",$H$13:$H$16)</f>
        <v>0</v>
      </c>
      <c r="I23" s="18">
        <f>SUMIF($B$13:$B$16,"CAA-3",$I$13:$I$16)</f>
        <v>0</v>
      </c>
    </row>
    <row r="24" spans="1:9" x14ac:dyDescent="0.25">
      <c r="A24" s="21" t="s">
        <v>62</v>
      </c>
      <c r="B24" s="7" t="s">
        <v>32</v>
      </c>
      <c r="C24" s="16">
        <v>0</v>
      </c>
      <c r="D24" s="16">
        <v>1</v>
      </c>
      <c r="E24" s="16">
        <f t="shared" si="1"/>
        <v>1</v>
      </c>
      <c r="F24" s="20"/>
      <c r="G24" s="18">
        <f>SUMIF($B$13:$B$16,"CAA-4",$G$13:$G$16)</f>
        <v>0</v>
      </c>
      <c r="H24" s="18">
        <f>SUMIF($B$13:$B$16,"CAA-4",$H$13:$H$16)</f>
        <v>0</v>
      </c>
      <c r="I24" s="18">
        <f>SUMIF($B$13:$B$16,"CAA-4",$I$13:$I$16)</f>
        <v>0</v>
      </c>
    </row>
    <row r="25" spans="1:9" x14ac:dyDescent="0.25">
      <c r="A25" s="21" t="s">
        <v>63</v>
      </c>
      <c r="B25" s="7" t="s">
        <v>64</v>
      </c>
      <c r="C25" s="16">
        <f>SUMIFS($E$13:$E$16,$B$13:$B$16,"CAA-5",$D$13:$D$16,"&lt;&gt;VAGO")</f>
        <v>0</v>
      </c>
      <c r="D25" s="16">
        <f>SUMIFS($E$13:$E$16,$B$13:$B$16,"CAA-5",$D$13:$D$16,"VAGO")</f>
        <v>0</v>
      </c>
      <c r="E25" s="16">
        <f t="shared" si="1"/>
        <v>0</v>
      </c>
      <c r="F25" s="20"/>
      <c r="G25" s="18">
        <f>SUMIF($B$13:$B$16,"CAA-5",$G$13:$G$16)</f>
        <v>0</v>
      </c>
      <c r="H25" s="18">
        <f>SUMIF($B$13:$B$16,"CAA-5",$H$13:$H$16)</f>
        <v>0</v>
      </c>
      <c r="I25" s="18">
        <f>SUMIF($B$13:$B$16,"CAA-5",$I$13:$I$16)</f>
        <v>0</v>
      </c>
    </row>
    <row r="26" spans="1:9" x14ac:dyDescent="0.25">
      <c r="A26" s="12" t="s">
        <v>65</v>
      </c>
      <c r="B26" s="14"/>
      <c r="C26" s="13">
        <v>1</v>
      </c>
      <c r="D26" s="13">
        <v>6</v>
      </c>
      <c r="E26" s="13">
        <f ca="1">SUM(E15:E25)</f>
        <v>7</v>
      </c>
      <c r="F26" s="14"/>
      <c r="G26" s="23">
        <f ca="1">SUM(G15:G25)</f>
        <v>0</v>
      </c>
      <c r="H26" s="23">
        <f ca="1">SUM(H15:H25)</f>
        <v>12366.33</v>
      </c>
      <c r="I26" s="23">
        <f ca="1">SUM(I15:I25)</f>
        <v>23521.24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ht="15" customHeight="1" x14ac:dyDescent="0.25">
      <c r="A30" s="33" t="s">
        <v>81</v>
      </c>
      <c r="B30" s="26" t="s">
        <v>3</v>
      </c>
      <c r="C30" s="6" t="s">
        <v>35</v>
      </c>
      <c r="D30" s="6" t="s">
        <v>24</v>
      </c>
      <c r="E30" s="7">
        <v>1</v>
      </c>
      <c r="F30" t="s">
        <v>294</v>
      </c>
      <c r="G30" s="18">
        <f ca="1">SUMIF($B$13:$B$16,"DAS",$G$13:$G$16)</f>
        <v>0</v>
      </c>
      <c r="H30" s="18">
        <f ca="1">SUMIF($B$13:$B$16,"DAS",$H$13:$H$16)</f>
        <v>0</v>
      </c>
      <c r="I30" s="18">
        <f ca="1">SUMIF($B$13:$B$16,"DAS",$I$13:$I$16)</f>
        <v>0</v>
      </c>
    </row>
    <row r="31" spans="1:9" ht="15" customHeight="1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 t="s">
        <v>295</v>
      </c>
      <c r="G31" s="8">
        <v>5404.89</v>
      </c>
      <c r="H31" s="18">
        <v>1726.48</v>
      </c>
      <c r="I31" s="18">
        <v>7131.37</v>
      </c>
    </row>
    <row r="32" spans="1:9" ht="15" customHeight="1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 t="s">
        <v>296</v>
      </c>
      <c r="G32" s="18">
        <v>7691</v>
      </c>
      <c r="H32" s="18">
        <v>3884.59</v>
      </c>
      <c r="I32" s="18">
        <v>11575.59</v>
      </c>
    </row>
    <row r="33" spans="1:11" ht="15" customHeight="1" x14ac:dyDescent="0.25">
      <c r="A33" s="33" t="s">
        <v>76</v>
      </c>
      <c r="B33" s="26" t="s">
        <v>1</v>
      </c>
      <c r="C33" s="6" t="s">
        <v>35</v>
      </c>
      <c r="D33" s="6" t="s">
        <v>24</v>
      </c>
      <c r="E33" s="7">
        <v>1</v>
      </c>
      <c r="F33" s="37" t="s">
        <v>297</v>
      </c>
      <c r="G33" s="18">
        <v>7691</v>
      </c>
      <c r="H33" s="18">
        <v>3083.01</v>
      </c>
      <c r="I33" s="18">
        <v>10777.01</v>
      </c>
    </row>
    <row r="34" spans="1:11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11" x14ac:dyDescent="0.25">
      <c r="A35" s="15" t="s">
        <v>90</v>
      </c>
      <c r="B35" s="28" t="s">
        <v>91</v>
      </c>
      <c r="C35" s="16">
        <f ca="1">SUMIFS($E$30:$E$36,$B$30:$B$36,"FDA",$D$30:$D$36,"&lt;&gt;VAGO")</f>
        <v>0</v>
      </c>
      <c r="D35" s="16">
        <f ca="1">SUMIFS($E$30:$E$36,$B$30:$B$36,"FDA",$D$30:$D$36,"VAGO")</f>
        <v>0</v>
      </c>
      <c r="E35" s="16">
        <f t="shared" ref="E35:E39" ca="1" si="3">C35+D35</f>
        <v>0</v>
      </c>
      <c r="F35" s="17"/>
      <c r="G35" s="9">
        <f ca="1">SUMIF($B$30:$B$36,"FDA",$G$30:$G$36)</f>
        <v>0</v>
      </c>
      <c r="H35" s="9">
        <f ca="1">SUMIF($B$30:$B$36,"FDA",$H$30:$H$36)</f>
        <v>0</v>
      </c>
      <c r="I35" s="9">
        <f ca="1">SUMIF($B$30:$B$36,"FDA",$I$30:$I$36)</f>
        <v>0</v>
      </c>
    </row>
    <row r="36" spans="1:11" x14ac:dyDescent="0.25">
      <c r="A36" s="15" t="s">
        <v>92</v>
      </c>
      <c r="B36" s="28" t="s">
        <v>93</v>
      </c>
      <c r="C36" s="16">
        <f ca="1">SUMIFS($E$30:$E$36,$B$30:$B$36,"FDA-1",$D$30:$D$36,"&lt;&gt;VAGO")</f>
        <v>0</v>
      </c>
      <c r="D36" s="16">
        <f ca="1">SUMIFS($E$30:$E$36,$B$30:$B$36,"FDA-1",$D$30:$D$36,"VAGO")</f>
        <v>0</v>
      </c>
      <c r="E36" s="16">
        <f t="shared" ca="1" si="3"/>
        <v>0</v>
      </c>
      <c r="F36" s="17"/>
      <c r="G36" s="9">
        <f ca="1">SUMIF($B$30:$B$36,"FDA-1",$G$30:$G$36)</f>
        <v>0</v>
      </c>
      <c r="H36" s="9">
        <f ca="1">SUMIF($B$30:$B$36,"FDA-1",$H$30:$H$36)</f>
        <v>0</v>
      </c>
      <c r="I36" s="9">
        <f ca="1">SUMIF($B$30:$B$36,"FDA-1",$I$30:$I$36)</f>
        <v>0</v>
      </c>
    </row>
    <row r="37" spans="1:11" x14ac:dyDescent="0.25">
      <c r="A37" s="15" t="s">
        <v>94</v>
      </c>
      <c r="B37" s="28" t="s">
        <v>95</v>
      </c>
      <c r="C37" s="16">
        <f>SUMIFS($E$30:$E$36,$B$30:$B$36,"FDA-2",$D$30:$D$36,"&lt;&gt;VAGO")</f>
        <v>0</v>
      </c>
      <c r="D37" s="16">
        <f>SUMIFS($E$30:$E$36,$B$30:$B$36,"FDA-2",$D$30:$D$36,"VAGO")</f>
        <v>0</v>
      </c>
      <c r="E37" s="16">
        <f t="shared" si="3"/>
        <v>0</v>
      </c>
      <c r="F37" s="20"/>
      <c r="G37" s="9">
        <f>SUMIF($B$30:$B$36,"FDA-2",$G$30:$G$36)</f>
        <v>0</v>
      </c>
      <c r="H37" s="9">
        <f>SUMIF($B$30:$B$36,"FDA-2",$H$30:$H$36)</f>
        <v>0</v>
      </c>
      <c r="I37" s="9">
        <f>SUMIF($B$30:$B$36,"FDA-2",$I$30:$I$36)</f>
        <v>0</v>
      </c>
    </row>
    <row r="38" spans="1:11" x14ac:dyDescent="0.25">
      <c r="A38" s="15" t="s">
        <v>96</v>
      </c>
      <c r="B38" s="28" t="s">
        <v>3</v>
      </c>
      <c r="C38" s="16">
        <f>SUMIFS($E$30:$E$36,$B$30:$B$36,"FDA-3",$D$30:$D$36,"&lt;&gt;VAGO")</f>
        <v>3</v>
      </c>
      <c r="D38" s="16">
        <f>SUMIFS($E$30:$E$36,$B$30:$B$36,"FDA-3",$D$30:$D$36,"VAGO")</f>
        <v>0</v>
      </c>
      <c r="E38" s="16">
        <f t="shared" si="3"/>
        <v>3</v>
      </c>
      <c r="F38" s="22" t="s">
        <v>298</v>
      </c>
      <c r="G38" s="9">
        <v>15382</v>
      </c>
      <c r="H38" s="9">
        <v>6967.6</v>
      </c>
      <c r="I38" s="9">
        <v>22349.599999999999</v>
      </c>
    </row>
    <row r="39" spans="1:11" x14ac:dyDescent="0.25">
      <c r="A39" s="15" t="s">
        <v>97</v>
      </c>
      <c r="B39" s="28" t="s">
        <v>1</v>
      </c>
      <c r="C39" s="16">
        <f>SUMIFS($E$30:$E$36,$B$30:$B$36,"FDA-4",$D$30:$D$36,"&lt;&gt;VAGO")</f>
        <v>1</v>
      </c>
      <c r="D39" s="16">
        <f>SUMIFS($E$30:$E$36,$B$30:$B$36,"FDA-4",$D$30:$D$36,"VAGO")</f>
        <v>0</v>
      </c>
      <c r="E39" s="16">
        <f t="shared" si="3"/>
        <v>1</v>
      </c>
      <c r="F39" s="20" t="s">
        <v>299</v>
      </c>
      <c r="G39" s="9">
        <f>SUMIF($B$30:$B$36,"FDA-4",$G$30:$G$36)</f>
        <v>7691</v>
      </c>
      <c r="H39" s="9">
        <f>SUMIF($B$30:$B$36,"FDA-4",$H$30:$H$36)</f>
        <v>3083.01</v>
      </c>
      <c r="I39" s="9">
        <f>SUMIF($B$30:$B$36,"FDA-4",$I$30:$I$36)</f>
        <v>10777.01</v>
      </c>
    </row>
    <row r="40" spans="1:11" ht="30" x14ac:dyDescent="0.25">
      <c r="A40" s="12" t="s">
        <v>98</v>
      </c>
      <c r="B40" s="27"/>
      <c r="C40" s="13">
        <f t="shared" ref="C40:E40" ca="1" si="4">SUM(C36:C39)</f>
        <v>4</v>
      </c>
      <c r="D40" s="13">
        <f t="shared" ca="1" si="4"/>
        <v>0</v>
      </c>
      <c r="E40" s="13">
        <f t="shared" ca="1" si="4"/>
        <v>4</v>
      </c>
      <c r="F40" s="27"/>
      <c r="G40" s="29">
        <f t="shared" ref="G40:I40" ca="1" si="5">SUM(G35:G39)</f>
        <v>28238.09</v>
      </c>
      <c r="H40" s="29">
        <f t="shared" ca="1" si="5"/>
        <v>13820.380000000001</v>
      </c>
      <c r="I40" s="29">
        <f t="shared" ca="1" si="5"/>
        <v>42058.47</v>
      </c>
    </row>
    <row r="41" spans="1:11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11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11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11" x14ac:dyDescent="0.25">
      <c r="A44" s="42" t="s">
        <v>270</v>
      </c>
      <c r="B44" s="43" t="s">
        <v>4</v>
      </c>
      <c r="C44" s="44"/>
      <c r="D44" s="44" t="s">
        <v>24</v>
      </c>
      <c r="E44" s="45">
        <v>1</v>
      </c>
      <c r="F44" s="46" t="s">
        <v>271</v>
      </c>
      <c r="G44" s="8">
        <v>5933.35</v>
      </c>
      <c r="H44" s="8">
        <v>1392.8</v>
      </c>
      <c r="I44" s="9">
        <f>SUM(G44:H44)</f>
        <v>7326.1500000000005</v>
      </c>
      <c r="J44" s="47"/>
      <c r="K44" s="47"/>
    </row>
    <row r="45" spans="1:11" x14ac:dyDescent="0.25">
      <c r="A45" s="42" t="s">
        <v>272</v>
      </c>
      <c r="B45" s="43" t="s">
        <v>4</v>
      </c>
      <c r="C45" s="44"/>
      <c r="D45" s="44" t="s">
        <v>24</v>
      </c>
      <c r="E45" s="45">
        <v>1</v>
      </c>
      <c r="F45" s="33" t="s">
        <v>222</v>
      </c>
      <c r="G45" s="8">
        <v>5675.13</v>
      </c>
      <c r="H45" s="8">
        <v>1392.8</v>
      </c>
      <c r="I45" s="9">
        <v>7067.93</v>
      </c>
      <c r="J45" s="47"/>
      <c r="K45" s="47"/>
    </row>
    <row r="46" spans="1:11" x14ac:dyDescent="0.25">
      <c r="A46" s="31" t="s">
        <v>236</v>
      </c>
      <c r="B46" s="32" t="s">
        <v>4</v>
      </c>
      <c r="C46" s="32"/>
      <c r="D46" s="6" t="s">
        <v>24</v>
      </c>
      <c r="E46" s="7">
        <v>1</v>
      </c>
      <c r="F46" s="31" t="s">
        <v>218</v>
      </c>
      <c r="G46" s="8">
        <v>8075.56</v>
      </c>
      <c r="H46" s="8">
        <v>1392.8</v>
      </c>
      <c r="I46" s="9">
        <f>SUM(G46:H46)</f>
        <v>9468.36</v>
      </c>
    </row>
    <row r="47" spans="1:11" x14ac:dyDescent="0.25">
      <c r="A47" s="33" t="s">
        <v>237</v>
      </c>
      <c r="B47" s="32" t="s">
        <v>4</v>
      </c>
      <c r="C47" s="6"/>
      <c r="D47" s="6" t="s">
        <v>24</v>
      </c>
      <c r="E47" s="7">
        <v>1</v>
      </c>
      <c r="F47" s="33" t="s">
        <v>276</v>
      </c>
      <c r="G47" s="8">
        <v>5250.46</v>
      </c>
      <c r="H47" s="8">
        <v>1392.8</v>
      </c>
      <c r="I47" s="9">
        <f t="shared" ref="I47:I80" si="6">SUM(G47:H47)</f>
        <v>6643.26</v>
      </c>
    </row>
    <row r="48" spans="1:11" x14ac:dyDescent="0.25">
      <c r="A48" s="33" t="s">
        <v>238</v>
      </c>
      <c r="B48" s="32" t="s">
        <v>4</v>
      </c>
      <c r="C48" s="6"/>
      <c r="D48" s="6" t="s">
        <v>24</v>
      </c>
      <c r="E48" s="7">
        <v>1</v>
      </c>
      <c r="F48" s="33" t="s">
        <v>214</v>
      </c>
      <c r="G48" s="8">
        <v>8075.56</v>
      </c>
      <c r="H48" s="8">
        <v>1392.8</v>
      </c>
      <c r="I48" s="9">
        <f t="shared" si="6"/>
        <v>9468.36</v>
      </c>
    </row>
    <row r="49" spans="1:9" x14ac:dyDescent="0.25">
      <c r="A49" s="33" t="s">
        <v>239</v>
      </c>
      <c r="B49" s="32" t="s">
        <v>4</v>
      </c>
      <c r="C49" s="6"/>
      <c r="D49" s="6" t="s">
        <v>24</v>
      </c>
      <c r="E49" s="7">
        <v>1</v>
      </c>
      <c r="F49" s="33" t="s">
        <v>240</v>
      </c>
      <c r="G49" s="8">
        <v>7691</v>
      </c>
      <c r="H49" s="8">
        <v>1392.8</v>
      </c>
      <c r="I49" s="9">
        <f t="shared" si="6"/>
        <v>9083.7999999999993</v>
      </c>
    </row>
    <row r="50" spans="1:9" x14ac:dyDescent="0.25">
      <c r="A50" s="33" t="s">
        <v>241</v>
      </c>
      <c r="B50" s="32" t="s">
        <v>4</v>
      </c>
      <c r="C50" s="6"/>
      <c r="D50" s="6" t="s">
        <v>24</v>
      </c>
      <c r="E50" s="7">
        <v>1</v>
      </c>
      <c r="F50" s="33" t="s">
        <v>109</v>
      </c>
      <c r="G50" s="8">
        <v>8299.11</v>
      </c>
      <c r="H50" s="8">
        <v>1392.8</v>
      </c>
      <c r="I50" s="9">
        <f t="shared" si="6"/>
        <v>9691.91</v>
      </c>
    </row>
    <row r="51" spans="1:9" x14ac:dyDescent="0.25">
      <c r="A51" s="33" t="s">
        <v>242</v>
      </c>
      <c r="B51" s="32" t="s">
        <v>4</v>
      </c>
      <c r="C51" s="6"/>
      <c r="D51" s="6" t="s">
        <v>24</v>
      </c>
      <c r="E51" s="7">
        <v>1</v>
      </c>
      <c r="F51" s="33" t="s">
        <v>277</v>
      </c>
      <c r="G51" s="8">
        <v>4902.3900000000003</v>
      </c>
      <c r="H51" s="8">
        <v>1392.8</v>
      </c>
      <c r="I51" s="9">
        <f t="shared" si="6"/>
        <v>6295.1900000000005</v>
      </c>
    </row>
    <row r="52" spans="1:9" x14ac:dyDescent="0.25">
      <c r="A52" s="33" t="s">
        <v>243</v>
      </c>
      <c r="B52" s="32" t="s">
        <v>4</v>
      </c>
      <c r="C52" s="6"/>
      <c r="D52" s="6" t="s">
        <v>24</v>
      </c>
      <c r="E52" s="7">
        <v>1</v>
      </c>
      <c r="F52" s="33" t="s">
        <v>111</v>
      </c>
      <c r="G52" s="8">
        <v>7691</v>
      </c>
      <c r="H52" s="8">
        <v>1392.8</v>
      </c>
      <c r="I52" s="9">
        <f t="shared" si="6"/>
        <v>9083.7999999999993</v>
      </c>
    </row>
    <row r="53" spans="1:9" x14ac:dyDescent="0.25">
      <c r="A53" s="33" t="s">
        <v>244</v>
      </c>
      <c r="B53" s="32" t="s">
        <v>4</v>
      </c>
      <c r="C53" s="6"/>
      <c r="D53" s="6" t="s">
        <v>24</v>
      </c>
      <c r="E53" s="7">
        <v>1</v>
      </c>
      <c r="F53" s="33" t="s">
        <v>215</v>
      </c>
      <c r="G53" s="8">
        <v>7691</v>
      </c>
      <c r="H53" s="8">
        <v>1392.8</v>
      </c>
      <c r="I53" s="9">
        <f t="shared" si="6"/>
        <v>9083.7999999999993</v>
      </c>
    </row>
    <row r="54" spans="1:9" x14ac:dyDescent="0.25">
      <c r="A54" s="33" t="s">
        <v>245</v>
      </c>
      <c r="B54" s="32" t="s">
        <v>4</v>
      </c>
      <c r="C54" s="6"/>
      <c r="D54" s="6" t="s">
        <v>24</v>
      </c>
      <c r="E54" s="7">
        <v>1</v>
      </c>
      <c r="F54" s="33" t="s">
        <v>216</v>
      </c>
      <c r="G54" s="8">
        <v>8075.56</v>
      </c>
      <c r="H54" s="8">
        <v>1392.8</v>
      </c>
      <c r="I54" s="9">
        <f t="shared" si="6"/>
        <v>9468.36</v>
      </c>
    </row>
    <row r="55" spans="1:9" x14ac:dyDescent="0.25">
      <c r="A55" s="33" t="s">
        <v>246</v>
      </c>
      <c r="B55" s="32" t="s">
        <v>4</v>
      </c>
      <c r="C55" s="6"/>
      <c r="D55" s="6" t="s">
        <v>24</v>
      </c>
      <c r="E55" s="7">
        <v>1</v>
      </c>
      <c r="F55" s="33" t="s">
        <v>112</v>
      </c>
      <c r="G55" s="8">
        <v>8075.56</v>
      </c>
      <c r="H55" s="8">
        <v>1392.8</v>
      </c>
      <c r="I55" s="9">
        <f t="shared" si="6"/>
        <v>9468.36</v>
      </c>
    </row>
    <row r="56" spans="1:9" x14ac:dyDescent="0.25">
      <c r="A56" s="33" t="s">
        <v>247</v>
      </c>
      <c r="B56" s="32" t="s">
        <v>4</v>
      </c>
      <c r="C56" s="6"/>
      <c r="D56" s="6" t="s">
        <v>24</v>
      </c>
      <c r="E56" s="7">
        <v>1</v>
      </c>
      <c r="F56" s="33" t="s">
        <v>219</v>
      </c>
      <c r="G56" s="8">
        <v>7691</v>
      </c>
      <c r="H56" s="8">
        <v>1392.8</v>
      </c>
      <c r="I56" s="9">
        <f t="shared" si="6"/>
        <v>9083.7999999999993</v>
      </c>
    </row>
    <row r="57" spans="1:9" x14ac:dyDescent="0.25">
      <c r="A57" s="33" t="s">
        <v>248</v>
      </c>
      <c r="B57" s="32" t="s">
        <v>4</v>
      </c>
      <c r="C57" s="6"/>
      <c r="D57" s="6" t="s">
        <v>24</v>
      </c>
      <c r="E57" s="7">
        <v>1</v>
      </c>
      <c r="F57" s="33" t="s">
        <v>113</v>
      </c>
      <c r="G57" s="8">
        <v>2295.89</v>
      </c>
      <c r="H57" s="8">
        <v>1392.8</v>
      </c>
      <c r="I57" s="9">
        <f t="shared" si="6"/>
        <v>3688.6899999999996</v>
      </c>
    </row>
    <row r="58" spans="1:9" x14ac:dyDescent="0.25">
      <c r="A58" s="33" t="s">
        <v>249</v>
      </c>
      <c r="B58" s="32" t="s">
        <v>4</v>
      </c>
      <c r="C58" s="6"/>
      <c r="D58" s="6" t="s">
        <v>24</v>
      </c>
      <c r="E58" s="7">
        <v>1</v>
      </c>
      <c r="F58" s="33" t="s">
        <v>114</v>
      </c>
      <c r="G58" s="8">
        <v>5125.45</v>
      </c>
      <c r="H58" s="8">
        <v>1392.8</v>
      </c>
      <c r="I58" s="9">
        <f>SUM(G58:H58)</f>
        <v>6518.25</v>
      </c>
    </row>
    <row r="59" spans="1:9" x14ac:dyDescent="0.25">
      <c r="A59" s="33" t="s">
        <v>250</v>
      </c>
      <c r="B59" s="32" t="s">
        <v>4</v>
      </c>
      <c r="C59" s="6"/>
      <c r="D59" s="6" t="s">
        <v>117</v>
      </c>
      <c r="E59" s="7">
        <v>1</v>
      </c>
      <c r="F59" s="33" t="s">
        <v>251</v>
      </c>
      <c r="G59" s="8">
        <v>0</v>
      </c>
      <c r="H59" s="8">
        <v>1392.8</v>
      </c>
      <c r="I59" s="9">
        <f t="shared" si="6"/>
        <v>1392.8</v>
      </c>
    </row>
    <row r="60" spans="1:9" x14ac:dyDescent="0.25">
      <c r="A60" s="33" t="s">
        <v>252</v>
      </c>
      <c r="B60" s="32" t="s">
        <v>4</v>
      </c>
      <c r="C60" s="6"/>
      <c r="D60" s="6" t="s">
        <v>24</v>
      </c>
      <c r="E60" s="7">
        <v>1</v>
      </c>
      <c r="F60" s="33" t="s">
        <v>115</v>
      </c>
      <c r="G60" s="8">
        <v>5933.35</v>
      </c>
      <c r="H60" s="8">
        <v>1392.8</v>
      </c>
      <c r="I60" s="9">
        <f t="shared" si="6"/>
        <v>7326.1500000000005</v>
      </c>
    </row>
    <row r="61" spans="1:9" x14ac:dyDescent="0.25">
      <c r="A61" s="33" t="s">
        <v>253</v>
      </c>
      <c r="B61" s="32" t="s">
        <v>4</v>
      </c>
      <c r="C61" s="6"/>
      <c r="D61" s="6" t="s">
        <v>24</v>
      </c>
      <c r="E61" s="7">
        <v>1</v>
      </c>
      <c r="F61" s="33" t="s">
        <v>220</v>
      </c>
      <c r="G61" s="8">
        <v>5125.45</v>
      </c>
      <c r="H61" s="8">
        <v>1392.8</v>
      </c>
      <c r="I61" s="9">
        <f t="shared" si="6"/>
        <v>6518.25</v>
      </c>
    </row>
    <row r="62" spans="1:9" x14ac:dyDescent="0.25">
      <c r="A62" s="33" t="s">
        <v>254</v>
      </c>
      <c r="B62" s="32" t="s">
        <v>4</v>
      </c>
      <c r="C62" s="6"/>
      <c r="D62" s="6" t="s">
        <v>24</v>
      </c>
      <c r="E62" s="7">
        <v>1</v>
      </c>
      <c r="F62" s="33" t="s">
        <v>116</v>
      </c>
      <c r="G62" s="8">
        <v>5404.89</v>
      </c>
      <c r="H62" s="8">
        <v>1392.8</v>
      </c>
      <c r="I62" s="9">
        <f t="shared" si="6"/>
        <v>6797.6900000000005</v>
      </c>
    </row>
    <row r="63" spans="1:9" x14ac:dyDescent="0.25">
      <c r="A63" s="33" t="s">
        <v>255</v>
      </c>
      <c r="B63" s="32" t="s">
        <v>4</v>
      </c>
      <c r="C63" s="6"/>
      <c r="D63" s="6" t="s">
        <v>24</v>
      </c>
      <c r="E63" s="7">
        <v>1</v>
      </c>
      <c r="F63" s="33" t="s">
        <v>261</v>
      </c>
      <c r="G63" s="8">
        <v>5650.81</v>
      </c>
      <c r="H63" s="8">
        <v>1392.8</v>
      </c>
      <c r="I63" s="9">
        <f t="shared" si="6"/>
        <v>7043.6100000000006</v>
      </c>
    </row>
    <row r="64" spans="1:9" x14ac:dyDescent="0.25">
      <c r="A64" s="33" t="s">
        <v>256</v>
      </c>
      <c r="B64" s="32" t="s">
        <v>4</v>
      </c>
      <c r="C64" s="6"/>
      <c r="D64" s="6" t="s">
        <v>117</v>
      </c>
      <c r="E64" s="7">
        <v>1</v>
      </c>
      <c r="F64" s="33" t="s">
        <v>257</v>
      </c>
      <c r="G64" s="8">
        <v>0</v>
      </c>
      <c r="H64" s="8">
        <v>1392.8</v>
      </c>
      <c r="I64" s="9">
        <f t="shared" si="6"/>
        <v>1392.8</v>
      </c>
    </row>
    <row r="65" spans="1:9" x14ac:dyDescent="0.25">
      <c r="A65" s="33" t="s">
        <v>258</v>
      </c>
      <c r="B65" s="32" t="s">
        <v>4</v>
      </c>
      <c r="C65" s="6"/>
      <c r="D65" s="6" t="s">
        <v>24</v>
      </c>
      <c r="E65" s="7">
        <v>1</v>
      </c>
      <c r="F65" s="33" t="s">
        <v>232</v>
      </c>
      <c r="G65" s="8">
        <v>8075.56</v>
      </c>
      <c r="H65" s="8">
        <v>1392.8</v>
      </c>
      <c r="I65" s="9">
        <f t="shared" si="6"/>
        <v>9468.36</v>
      </c>
    </row>
    <row r="66" spans="1:9" ht="37.5" customHeight="1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54" t="s">
        <v>300</v>
      </c>
      <c r="G66" s="8" t="s">
        <v>301</v>
      </c>
      <c r="H66" s="8" t="s">
        <v>302</v>
      </c>
      <c r="I66" s="9" t="s">
        <v>303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si="6"/>
        <v>6524.89</v>
      </c>
    </row>
    <row r="69" spans="1:9" x14ac:dyDescent="0.25">
      <c r="A69" s="33" t="s">
        <v>260</v>
      </c>
      <c r="B69" s="32" t="s">
        <v>6</v>
      </c>
      <c r="C69" s="6"/>
      <c r="D69" s="6" t="s">
        <v>24</v>
      </c>
      <c r="E69" s="7">
        <v>1</v>
      </c>
      <c r="F69" s="33" t="s">
        <v>119</v>
      </c>
      <c r="G69" s="8">
        <v>2531.2199999999998</v>
      </c>
      <c r="H69" s="8">
        <v>505.81</v>
      </c>
      <c r="I69" s="9">
        <f t="shared" si="6"/>
        <v>3037.0299999999997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6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6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6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304</v>
      </c>
      <c r="G73" s="8">
        <v>5763.82</v>
      </c>
      <c r="H73" s="8">
        <v>505.81</v>
      </c>
      <c r="I73" s="9">
        <f t="shared" si="6"/>
        <v>6269.63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6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6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117</v>
      </c>
      <c r="E76" s="7">
        <v>1</v>
      </c>
      <c r="F76" s="31" t="s">
        <v>226</v>
      </c>
      <c r="G76" s="8">
        <v>0</v>
      </c>
      <c r="H76" s="8">
        <v>465.35</v>
      </c>
      <c r="I76" s="9">
        <f t="shared" si="6"/>
        <v>465.35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6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305</v>
      </c>
      <c r="G78" s="8">
        <v>5563.85</v>
      </c>
      <c r="H78" s="8">
        <v>465.35</v>
      </c>
      <c r="I78" s="9">
        <f t="shared" si="6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6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6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22</v>
      </c>
      <c r="D82" s="16">
        <v>1</v>
      </c>
      <c r="E82" s="16">
        <v>23</v>
      </c>
      <c r="F82" s="17"/>
      <c r="G82" s="9">
        <f>SUMIF($B$49:$B$68,"FGS-1",$G$49:$G$68)</f>
        <v>97728.01999999999</v>
      </c>
      <c r="H82" s="9">
        <f>SUMIF($B$49:$B$68,"FGS-1",$H$49:$H$68)</f>
        <v>23677.599999999991</v>
      </c>
      <c r="I82" s="9">
        <f>SUMIF($B$49:$B$68,"FGS-1",$I$49:$I$68)</f>
        <v>121405.62000000001</v>
      </c>
    </row>
    <row r="83" spans="1:9" ht="30" x14ac:dyDescent="0.25">
      <c r="A83" s="15" t="s">
        <v>129</v>
      </c>
      <c r="B83" s="28" t="s">
        <v>130</v>
      </c>
      <c r="C83" s="16">
        <f>SUMIFS($E$49:$E$83,$B$49:$B$83,"FGS-2",$D$49:$D$83,"&lt;&gt;VAGO")</f>
        <v>3</v>
      </c>
      <c r="D83" s="16">
        <f>SUMIFS($E$49:$E$83,$B$49:$B$83,"FGS-2",$D$49:$D$83,"VAGO")</f>
        <v>0</v>
      </c>
      <c r="E83" s="16">
        <f t="shared" ref="E83:E87" si="7">C83+D83</f>
        <v>3</v>
      </c>
      <c r="F83" s="20" t="s">
        <v>306</v>
      </c>
      <c r="G83" s="9">
        <v>25123.200000000001</v>
      </c>
      <c r="H83" s="9">
        <v>3010.63</v>
      </c>
      <c r="I83" s="9">
        <v>28133.83</v>
      </c>
    </row>
    <row r="84" spans="1:9" x14ac:dyDescent="0.25">
      <c r="A84" s="15" t="s">
        <v>131</v>
      </c>
      <c r="B84" s="28" t="s">
        <v>132</v>
      </c>
      <c r="C84" s="16">
        <f>SUMIFS($E$49:$E$83,$B$49:$B$83,"FGS-3",$D$49:$D$83,"&lt;&gt;VAGO")</f>
        <v>0</v>
      </c>
      <c r="D84" s="16">
        <f>SUMIFS($E$49:$E$83,$B$49:$B$83,"FGS-3",$D$49:$D$83,"VAGO")</f>
        <v>0</v>
      </c>
      <c r="E84" s="16">
        <f t="shared" si="7"/>
        <v>0</v>
      </c>
      <c r="F84" s="20"/>
      <c r="G84" s="9">
        <f>SUMIF($B$49:$B$83,"FGS-3",$G$49:$G$83)</f>
        <v>0</v>
      </c>
      <c r="H84" s="9">
        <f>SUMIF($B$49:$B$83,"FGS-3",$G$49:$G$83)</f>
        <v>0</v>
      </c>
      <c r="I84" s="9">
        <f>SUMIF($B$49:$B$83,"FGS-3",$G$49:$G$83)</f>
        <v>0</v>
      </c>
    </row>
    <row r="85" spans="1:9" x14ac:dyDescent="0.25">
      <c r="A85" s="21" t="s">
        <v>133</v>
      </c>
      <c r="B85" s="34" t="s">
        <v>134</v>
      </c>
      <c r="C85" s="16">
        <f>SUMIFS($E$49:$E$83,$B$49:$B$83,"FGA-1",$D$49:$D$83,"&lt;&gt;VAGO")</f>
        <v>5</v>
      </c>
      <c r="D85" s="16">
        <f>SUMIFS($E$49:$E$83,$B$49:$B$83,"FGA-1",$D$49:$D$83,"VAGO")</f>
        <v>0</v>
      </c>
      <c r="E85" s="16">
        <f t="shared" si="7"/>
        <v>5</v>
      </c>
      <c r="F85" s="22"/>
      <c r="G85" s="9">
        <f>SUMIF($B$72:$B$76,"FGA-1",$G$72:$G$76)</f>
        <v>5763.82</v>
      </c>
      <c r="H85" s="9">
        <f>SUMIF($B$72:$B$76,"FGA-1",$H$72:$H$76)</f>
        <v>1011.62</v>
      </c>
      <c r="I85" s="9">
        <f>SUMIF($B$72:$B$76,"FGA-1",$I$72:$I$76)</f>
        <v>6775.4400000000005</v>
      </c>
    </row>
    <row r="86" spans="1:9" x14ac:dyDescent="0.25">
      <c r="A86" s="15" t="s">
        <v>135</v>
      </c>
      <c r="B86" s="28" t="s">
        <v>7</v>
      </c>
      <c r="C86" s="16">
        <f>SUMIFS($E$49:$E$83,$B$49:$B$83,"FGA-2",$D$49:$D$83,"&lt;&gt;VAGO")</f>
        <v>7</v>
      </c>
      <c r="D86" s="16">
        <f>SUMIFS($E$49:$E$83,$B$49:$B$83,"FGA-2",$D$49:$D$83,"VAGO")</f>
        <v>0</v>
      </c>
      <c r="E86" s="16">
        <f t="shared" si="7"/>
        <v>7</v>
      </c>
      <c r="F86" s="22"/>
      <c r="G86" s="9">
        <f>SUMIF($B$77:$B$83,"FGA-2",$G$77:$G$83)</f>
        <v>10004.1</v>
      </c>
      <c r="H86" s="9">
        <f>SUMIF($B$77:$B$83,"FGA-2",$H$77:$H$83)</f>
        <v>1861.4</v>
      </c>
      <c r="I86" s="9">
        <f>SUMIF($B$77:$B$83,"FGA-2",$I$77:$I$83)</f>
        <v>11865.500000000002</v>
      </c>
    </row>
    <row r="87" spans="1:9" x14ac:dyDescent="0.25">
      <c r="A87" s="15" t="s">
        <v>136</v>
      </c>
      <c r="B87" s="28" t="s">
        <v>137</v>
      </c>
      <c r="C87" s="16">
        <f>SUMIFS($E$49:$E$83,$B$49:$B$83,"FGA-3",$D$49:$D$83,"&lt;&gt;VAGO")</f>
        <v>0</v>
      </c>
      <c r="D87" s="16">
        <f>SUMIFS($E$49:$E$83,$B$49:$B$83,"FGA-3",$D$49:$D$83,"VAGO")</f>
        <v>0</v>
      </c>
      <c r="E87" s="16">
        <f t="shared" si="7"/>
        <v>0</v>
      </c>
      <c r="F87" s="20"/>
      <c r="G87" s="9">
        <f>SUMIF($B$49:$B$83,"FGA-3",$G$49:$G$83)</f>
        <v>0</v>
      </c>
      <c r="H87" s="9">
        <f>SUMIF($B$49:$B$83,"FGA-3",$G$49:$G$83)</f>
        <v>0</v>
      </c>
      <c r="I87" s="9">
        <f>SUMIF($B$49:$B$83,"FGA-3",$G$49:$G$83)</f>
        <v>0</v>
      </c>
    </row>
    <row r="88" spans="1:9" ht="30" x14ac:dyDescent="0.25">
      <c r="A88" s="12" t="s">
        <v>138</v>
      </c>
      <c r="B88" s="27"/>
      <c r="C88" s="13">
        <f t="shared" ref="C88:E88" si="8">SUM(C82:C87)</f>
        <v>37</v>
      </c>
      <c r="D88" s="13">
        <f t="shared" si="8"/>
        <v>1</v>
      </c>
      <c r="E88" s="13">
        <f t="shared" si="8"/>
        <v>38</v>
      </c>
      <c r="F88" s="27"/>
      <c r="G88" s="29">
        <f>SUM(G82:G87)</f>
        <v>138619.13999999998</v>
      </c>
      <c r="H88" s="29">
        <f>SUM(H82:H87)</f>
        <v>29561.249999999993</v>
      </c>
      <c r="I88" s="29">
        <f>SUM(I82:I87)</f>
        <v>168180.39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f ca="1">SUM(C26+C40+C88)</f>
        <v>46</v>
      </c>
      <c r="D91" s="13">
        <f ca="1">SUM(D26+D40+D88)</f>
        <v>0</v>
      </c>
      <c r="E91" s="13">
        <f ca="1">SUM(E26+E40+E88)</f>
        <v>46</v>
      </c>
      <c r="F91" s="14"/>
      <c r="G91" s="29">
        <f ca="1">SUM(H26+G40+G88)</f>
        <v>185959.39</v>
      </c>
      <c r="H91" s="29">
        <f ca="1">SUM(I26+H40+H88)</f>
        <v>68541.39</v>
      </c>
      <c r="I91" s="29">
        <f ca="1">SUM(J26+I40+I88)</f>
        <v>254500.78000000003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28"/>
      <c r="C93" s="128"/>
      <c r="D93" s="128"/>
      <c r="E93" s="128"/>
      <c r="F93" s="129"/>
      <c r="G93" s="10"/>
      <c r="H93" s="19"/>
      <c r="I93" s="19"/>
    </row>
    <row r="94" spans="1:9" x14ac:dyDescent="0.25">
      <c r="A94" s="131" t="s">
        <v>147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31" t="s">
        <v>148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149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150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151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228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24" t="s">
        <v>234</v>
      </c>
      <c r="B100" s="125"/>
      <c r="C100" s="125"/>
      <c r="D100" s="125"/>
      <c r="E100" s="125"/>
      <c r="F100" s="126"/>
      <c r="G100" s="10"/>
      <c r="H100" s="19"/>
      <c r="I100" s="19"/>
    </row>
    <row r="101" spans="1:9" x14ac:dyDescent="0.25">
      <c r="A101" s="124" t="s">
        <v>265</v>
      </c>
      <c r="B101" s="125"/>
      <c r="C101" s="125"/>
      <c r="D101" s="125"/>
      <c r="E101" s="125"/>
      <c r="F101" s="126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3"/>
      <c r="B103" s="128"/>
      <c r="C103" s="128"/>
      <c r="D103" s="128"/>
      <c r="E103" s="128"/>
      <c r="F103" s="129"/>
      <c r="G103" s="10"/>
      <c r="H103" s="19"/>
      <c r="I103" s="19"/>
    </row>
    <row r="104" spans="1:9" x14ac:dyDescent="0.25">
      <c r="A104" s="133"/>
      <c r="B104" s="128"/>
      <c r="C104" s="128"/>
      <c r="D104" s="128"/>
      <c r="E104" s="128"/>
      <c r="F104" s="129"/>
      <c r="G104" s="10"/>
      <c r="H104" s="19"/>
      <c r="I104" s="19"/>
    </row>
    <row r="105" spans="1:9" x14ac:dyDescent="0.25">
      <c r="A105" s="134"/>
      <c r="B105" s="135"/>
      <c r="C105" s="135"/>
      <c r="D105" s="135"/>
      <c r="E105" s="135"/>
      <c r="F105" s="136"/>
      <c r="G105" s="10"/>
      <c r="H105" s="19"/>
      <c r="I105" s="19"/>
    </row>
    <row r="106" spans="1:9" x14ac:dyDescent="0.25">
      <c r="A106" s="137"/>
      <c r="B106" s="138"/>
      <c r="C106" s="138"/>
      <c r="D106" s="138"/>
      <c r="E106" s="138"/>
      <c r="F106" s="138"/>
      <c r="G106" s="10"/>
      <c r="H106" s="19"/>
      <c r="I106" s="19"/>
    </row>
    <row r="107" spans="1:9" x14ac:dyDescent="0.25">
      <c r="A107" s="139" t="s">
        <v>152</v>
      </c>
      <c r="B107" s="140"/>
      <c r="C107" s="140"/>
      <c r="D107" s="140"/>
      <c r="E107" s="140"/>
      <c r="F107" s="141"/>
      <c r="G107" s="10"/>
      <c r="H107" s="19"/>
      <c r="I107" s="19"/>
    </row>
    <row r="108" spans="1:9" x14ac:dyDescent="0.25">
      <c r="A108" s="142" t="s">
        <v>153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154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155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156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157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158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159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160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161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162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163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164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165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166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167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168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169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170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171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172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173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174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175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176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177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178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179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180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181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182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183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184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185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186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187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188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189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190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191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192</v>
      </c>
      <c r="B147" s="128"/>
      <c r="C147" s="128"/>
      <c r="D147" s="128"/>
      <c r="E147" s="128"/>
      <c r="F147" s="129"/>
      <c r="G147" s="10"/>
      <c r="H147" s="19"/>
      <c r="I147" s="19"/>
    </row>
    <row r="148" spans="1:9" x14ac:dyDescent="0.25">
      <c r="A148" s="132" t="s">
        <v>193</v>
      </c>
      <c r="B148" s="128"/>
      <c r="C148" s="128"/>
      <c r="D148" s="128"/>
      <c r="E148" s="128"/>
      <c r="F148" s="129"/>
      <c r="G148" s="10"/>
      <c r="H148" s="19"/>
      <c r="I148" s="19"/>
    </row>
    <row r="149" spans="1:9" x14ac:dyDescent="0.25">
      <c r="A149" s="132" t="s">
        <v>194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195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196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197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198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199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200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201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202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203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204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205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206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207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208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209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210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211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132" t="s">
        <v>212</v>
      </c>
      <c r="B167" s="128"/>
      <c r="C167" s="128"/>
      <c r="D167" s="128"/>
      <c r="E167" s="128"/>
      <c r="F167" s="129"/>
      <c r="G167" s="35"/>
      <c r="H167" s="35"/>
      <c r="I167" s="35"/>
    </row>
    <row r="168" spans="1:9" x14ac:dyDescent="0.25">
      <c r="A168" s="132" t="s">
        <v>213</v>
      </c>
      <c r="B168" s="128"/>
      <c r="C168" s="128"/>
      <c r="D168" s="128"/>
      <c r="E168" s="128"/>
      <c r="F168" s="12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5" spans="1:9" x14ac:dyDescent="0.25">
      <c r="A175" s="39" t="s">
        <v>307</v>
      </c>
    </row>
    <row r="176" spans="1:9" x14ac:dyDescent="0.25">
      <c r="A176" s="40" t="s">
        <v>10</v>
      </c>
    </row>
    <row r="177" spans="1:1" x14ac:dyDescent="0.25">
      <c r="A177" s="39" t="s">
        <v>235</v>
      </c>
    </row>
  </sheetData>
  <mergeCells count="83">
    <mergeCell ref="A1:J1"/>
    <mergeCell ref="A2:J2"/>
    <mergeCell ref="A3:J3"/>
    <mergeCell ref="A100:F100"/>
    <mergeCell ref="B4:J4"/>
    <mergeCell ref="A5:J5"/>
    <mergeCell ref="A28:I28"/>
    <mergeCell ref="A42:I42"/>
    <mergeCell ref="A93:F93"/>
    <mergeCell ref="A94:F94"/>
    <mergeCell ref="A95:F95"/>
    <mergeCell ref="A96:F96"/>
    <mergeCell ref="A97:F97"/>
    <mergeCell ref="A98:F98"/>
    <mergeCell ref="A99:F99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60:F160"/>
    <mergeCell ref="A149:F149"/>
    <mergeCell ref="A150:F15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7:F167"/>
    <mergeCell ref="A168:F168"/>
    <mergeCell ref="A161:F161"/>
    <mergeCell ref="A162:F162"/>
    <mergeCell ref="A163:F163"/>
    <mergeCell ref="A164:F164"/>
    <mergeCell ref="A165:F165"/>
    <mergeCell ref="A166:F166"/>
  </mergeCells>
  <dataValidations count="4">
    <dataValidation type="list" allowBlank="1" sqref="B7:B13" xr:uid="{1FCE9EEE-3C32-465C-B1E8-2734145802C1}">
      <formula1>"DAS,DAS-1,DAS-2,DAS-3,DAS-4,DAS-5,CAA-1,CAA-2,CAA-3,CAA-4,CAA-5"</formula1>
    </dataValidation>
    <dataValidation type="list" allowBlank="1" sqref="B30:B33" xr:uid="{45E7A3BA-37F6-49D7-B14B-D3364985DB81}">
      <formula1>"FDA,FDA-1,FDA-2,FDA-3,FDA-4"</formula1>
    </dataValidation>
    <dataValidation type="list" allowBlank="1" sqref="B44:B80" xr:uid="{3AE1B10D-A5BF-44A6-8598-BF3C6A31648F}">
      <formula1>"FGS-1,FGS-2,FGS-3,FGA-1,FGA-2,FGA-3"</formula1>
    </dataValidation>
    <dataValidation type="list" allowBlank="1" sqref="D44:D80 D30:D33 D7:D13" xr:uid="{2A262A82-A8B6-41B4-A645-DB7E5A5003D2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51D5-8394-482A-8679-52D6EC6880CD}">
  <dimension ref="A1:AA177"/>
  <sheetViews>
    <sheetView workbookViewId="0">
      <selection activeCell="A2" sqref="A2:J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91.7109375" customWidth="1"/>
    <col min="7" max="7" width="15.7109375" customWidth="1"/>
    <col min="8" max="8" width="13.5703125" customWidth="1"/>
    <col min="9" max="9" width="15.28515625" customWidth="1"/>
    <col min="10" max="10" width="16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369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1" t="s">
        <v>352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3" t="s">
        <v>18</v>
      </c>
      <c r="G6" s="4" t="s">
        <v>19</v>
      </c>
      <c r="H6" s="4" t="s">
        <v>20</v>
      </c>
      <c r="I6" s="4" t="s">
        <v>21</v>
      </c>
      <c r="J6" s="4" t="s">
        <v>281</v>
      </c>
    </row>
    <row r="7" spans="1:27" x14ac:dyDescent="0.25">
      <c r="A7" s="11" t="s">
        <v>282</v>
      </c>
      <c r="B7" s="5" t="s">
        <v>0</v>
      </c>
      <c r="C7" s="6" t="s">
        <v>283</v>
      </c>
      <c r="D7" s="6" t="s">
        <v>24</v>
      </c>
      <c r="E7" s="49">
        <v>1</v>
      </c>
      <c r="F7" s="50" t="s">
        <v>284</v>
      </c>
      <c r="G7" s="51">
        <v>0</v>
      </c>
      <c r="H7" s="51">
        <v>8479.33</v>
      </c>
      <c r="I7" s="51">
        <v>9360</v>
      </c>
      <c r="J7" s="52">
        <v>17839.330000000002</v>
      </c>
    </row>
    <row r="8" spans="1:27" x14ac:dyDescent="0.25">
      <c r="A8" s="11" t="s">
        <v>285</v>
      </c>
      <c r="B8" s="5" t="s">
        <v>2</v>
      </c>
      <c r="C8" s="6" t="s">
        <v>27</v>
      </c>
      <c r="D8" s="6" t="s">
        <v>28</v>
      </c>
      <c r="E8" s="49">
        <v>1</v>
      </c>
      <c r="F8" s="50" t="s">
        <v>308</v>
      </c>
      <c r="G8" s="51">
        <v>0</v>
      </c>
      <c r="H8" s="51">
        <v>1079.06</v>
      </c>
      <c r="I8" s="51">
        <v>4316.21</v>
      </c>
      <c r="J8" s="52">
        <v>5395.27</v>
      </c>
    </row>
    <row r="9" spans="1:27" x14ac:dyDescent="0.25">
      <c r="A9" s="11" t="s">
        <v>38</v>
      </c>
      <c r="B9" s="6" t="s">
        <v>2</v>
      </c>
      <c r="C9" s="6" t="s">
        <v>39</v>
      </c>
      <c r="D9" s="6" t="s">
        <v>28</v>
      </c>
      <c r="E9" s="49">
        <v>1</v>
      </c>
      <c r="F9" s="50" t="s">
        <v>309</v>
      </c>
      <c r="G9" s="51">
        <v>0</v>
      </c>
      <c r="H9" s="51">
        <v>1079.06</v>
      </c>
      <c r="I9" s="51">
        <v>4316.21</v>
      </c>
      <c r="J9" s="52">
        <v>5395.27</v>
      </c>
    </row>
    <row r="10" spans="1:27" x14ac:dyDescent="0.25">
      <c r="A10" s="11" t="s">
        <v>288</v>
      </c>
      <c r="B10" s="5" t="s">
        <v>8</v>
      </c>
      <c r="C10" s="6" t="s">
        <v>37</v>
      </c>
      <c r="D10" s="6" t="s">
        <v>28</v>
      </c>
      <c r="E10" s="49">
        <v>1</v>
      </c>
      <c r="F10" s="50" t="s">
        <v>310</v>
      </c>
      <c r="G10" s="51">
        <v>0</v>
      </c>
      <c r="H10" s="51">
        <v>700.75</v>
      </c>
      <c r="I10" s="51">
        <v>3083.01</v>
      </c>
      <c r="J10" s="52">
        <v>3783.76</v>
      </c>
    </row>
    <row r="11" spans="1:27" x14ac:dyDescent="0.25">
      <c r="A11" s="11" t="s">
        <v>290</v>
      </c>
      <c r="B11" s="5" t="s">
        <v>8</v>
      </c>
      <c r="C11" s="6" t="s">
        <v>35</v>
      </c>
      <c r="D11" s="6" t="s">
        <v>28</v>
      </c>
      <c r="E11" s="49">
        <v>1</v>
      </c>
      <c r="F11" s="50" t="s">
        <v>311</v>
      </c>
      <c r="G11" s="51">
        <v>0</v>
      </c>
      <c r="H11" s="51">
        <v>700.75</v>
      </c>
      <c r="I11" s="51">
        <v>3083.01</v>
      </c>
      <c r="J11" s="52">
        <v>3783.76</v>
      </c>
    </row>
    <row r="12" spans="1:27" x14ac:dyDescent="0.25">
      <c r="A12" s="11" t="s">
        <v>268</v>
      </c>
      <c r="B12" s="5" t="s">
        <v>9</v>
      </c>
      <c r="C12" s="6" t="s">
        <v>30</v>
      </c>
      <c r="D12" s="6" t="s">
        <v>28</v>
      </c>
      <c r="E12" s="49">
        <v>1</v>
      </c>
      <c r="F12" s="50" t="s">
        <v>312</v>
      </c>
      <c r="G12" s="51">
        <v>0</v>
      </c>
      <c r="H12" s="51">
        <v>500.99</v>
      </c>
      <c r="I12" s="51">
        <v>2003.96</v>
      </c>
      <c r="J12" s="52">
        <v>2504.9499999999998</v>
      </c>
    </row>
    <row r="13" spans="1:27" x14ac:dyDescent="0.25">
      <c r="A13" s="11" t="s">
        <v>31</v>
      </c>
      <c r="B13" s="5" t="s">
        <v>32</v>
      </c>
      <c r="C13" s="6" t="s">
        <v>33</v>
      </c>
      <c r="D13" s="6" t="s">
        <v>28</v>
      </c>
      <c r="E13" s="49">
        <v>1</v>
      </c>
      <c r="F13" s="50" t="s">
        <v>313</v>
      </c>
      <c r="G13" s="51">
        <v>0</v>
      </c>
      <c r="H13" s="51">
        <v>308.3</v>
      </c>
      <c r="I13" s="51">
        <v>1233.21</v>
      </c>
      <c r="J13" s="52">
        <v>1541.51</v>
      </c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53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SUMIFS($E$13:$E$16,$B$13:$B$16,"DAS",$D$13:$D$16,"&lt;&gt;VAGO")</f>
        <v>0</v>
      </c>
      <c r="D15" s="16">
        <f ca="1">SUMIFS($E$13:$E$16,$B$13:$B$16,"DAS",$D$13:$D$16,"VAGO")</f>
        <v>0</v>
      </c>
      <c r="E15" s="16">
        <f t="shared" ref="E15:E25" ca="1" si="0">C15+D15</f>
        <v>0</v>
      </c>
      <c r="F15" s="17"/>
      <c r="G15" s="18">
        <f ca="1">SUMIF($B$13:$B$16,"DAS",$G$13:$G$16)</f>
        <v>0</v>
      </c>
      <c r="H15" s="18">
        <f ca="1">SUMIF($B$13:$B$16,"DAS",$H$13:$H$16)</f>
        <v>0</v>
      </c>
      <c r="I15" s="18">
        <f ca="1">SUMIF($B$13:$B$16,"DAS",$I$13:$I$16)</f>
        <v>0</v>
      </c>
    </row>
    <row r="16" spans="1:27" x14ac:dyDescent="0.25">
      <c r="A16" s="15" t="s">
        <v>50</v>
      </c>
      <c r="B16" s="7" t="s">
        <v>0</v>
      </c>
      <c r="C16" s="16">
        <v>1</v>
      </c>
      <c r="D16" s="16">
        <f ca="1">SUMIFS($E$13:$E$16,$B$13:$B$16,"DAS-1",$D$13:$D$16,"VAGO")</f>
        <v>0</v>
      </c>
      <c r="E16" s="16">
        <f t="shared" ca="1" si="0"/>
        <v>1</v>
      </c>
      <c r="F16" s="20"/>
      <c r="G16" s="18">
        <f ca="1">SUMIF($B$13:$B$16,"DAS-1",$G$13:$G$16)</f>
        <v>0</v>
      </c>
      <c r="H16" s="18">
        <f t="shared" ref="H16:I16" ca="1" si="1">SUMIF($B$13:$B$16,"DAS",$H$13:$H$16)</f>
        <v>0</v>
      </c>
      <c r="I16" s="18">
        <f t="shared" ca="1" si="1"/>
        <v>0</v>
      </c>
    </row>
    <row r="17" spans="1:9" x14ac:dyDescent="0.25">
      <c r="A17" s="15" t="s">
        <v>51</v>
      </c>
      <c r="B17" s="7" t="s">
        <v>52</v>
      </c>
      <c r="C17" s="16">
        <f>SUMIFS($E$13:$E$16,$B$13:$B$16,"DAS-2",$D$13:$D$16,"&lt;&gt;VAGO")</f>
        <v>0</v>
      </c>
      <c r="D17" s="16">
        <v>0</v>
      </c>
      <c r="E17" s="16">
        <f t="shared" si="0"/>
        <v>0</v>
      </c>
      <c r="F17" s="20"/>
      <c r="G17" s="18">
        <f>SUMIF($B$13:$B$16,"DAS-2",$G$13:$G$16)</f>
        <v>0</v>
      </c>
      <c r="H17" s="18">
        <f>SUMIF($B$13:$B$16,"DAS-2",$H$13:$H$16)</f>
        <v>0</v>
      </c>
      <c r="I17" s="18">
        <f>SUMIF($B$13:$B$16,"DAS-2",$I$13:$I$16)</f>
        <v>0</v>
      </c>
    </row>
    <row r="18" spans="1:9" x14ac:dyDescent="0.25">
      <c r="A18" s="15" t="s">
        <v>53</v>
      </c>
      <c r="B18" s="7" t="s">
        <v>54</v>
      </c>
      <c r="C18" s="16">
        <f>SUMIFS($E$13:$E$16,$B$13:$B$16,"DAS-3",$D$13:$D$16,"&lt;&gt;VAGO")</f>
        <v>0</v>
      </c>
      <c r="D18" s="16">
        <f>SUMIFS($E$13:$E$16,$B$13:$B$16,"DAS-3",$D$13:$D$16,"VAGO")</f>
        <v>0</v>
      </c>
      <c r="E18" s="16">
        <f t="shared" si="0"/>
        <v>0</v>
      </c>
      <c r="F18" s="20"/>
      <c r="G18" s="18">
        <f>SUMIF($B$13:$B$16,"DAS-3",$G$13:$G$16)</f>
        <v>0</v>
      </c>
      <c r="H18" s="18">
        <f>SUMIF($B$13:$B$16,"DAS-3",$H$13:$H$16)</f>
        <v>0</v>
      </c>
      <c r="I18" s="18">
        <f>SUMIF($B$13:$B$16,"DAS-3",$I$13:$I$16)</f>
        <v>0</v>
      </c>
    </row>
    <row r="19" spans="1:9" x14ac:dyDescent="0.25">
      <c r="A19" s="21" t="s">
        <v>55</v>
      </c>
      <c r="B19" s="7" t="s">
        <v>56</v>
      </c>
      <c r="C19" s="16">
        <f>SUMIFS($E$13:$E$16,$B$13:$B$16,"DAS-4",$D$13:$D$16,"&lt;&gt;VAGO")</f>
        <v>0</v>
      </c>
      <c r="D19" s="16">
        <f>SUMIFS($E$13:$E$16,$B$13:$B$16,"DAS-4",$D$13:$D$16,"VAGO")</f>
        <v>0</v>
      </c>
      <c r="E19" s="16">
        <f t="shared" si="0"/>
        <v>0</v>
      </c>
      <c r="F19" s="22"/>
      <c r="G19" s="18">
        <f>SUMIF($B$13:$B$16,"DAS-4",$G$13:$G$16)</f>
        <v>0</v>
      </c>
      <c r="H19" s="18">
        <f>SUMIF($B$13:$B$16,"DAS-4",$H$13:$H$16)</f>
        <v>0</v>
      </c>
      <c r="I19" s="18">
        <f>SUMIF($B$13:$B$16,"DAS-4",$I$13:$I$16)</f>
        <v>0</v>
      </c>
    </row>
    <row r="20" spans="1:9" x14ac:dyDescent="0.25">
      <c r="A20" s="21" t="s">
        <v>57</v>
      </c>
      <c r="B20" s="7" t="s">
        <v>2</v>
      </c>
      <c r="C20" s="16">
        <v>0</v>
      </c>
      <c r="D20" s="16">
        <v>2</v>
      </c>
      <c r="E20" s="16">
        <v>2</v>
      </c>
      <c r="F20" s="22"/>
      <c r="G20" s="18">
        <f>SUMIF($B$13:$B$16,"DAS-5",$G$13:$G$16)</f>
        <v>0</v>
      </c>
      <c r="H20" s="55">
        <v>1079.06</v>
      </c>
      <c r="I20" s="55">
        <v>4316.21</v>
      </c>
    </row>
    <row r="21" spans="1:9" x14ac:dyDescent="0.25">
      <c r="A21" s="21" t="s">
        <v>58</v>
      </c>
      <c r="B21" s="7" t="s">
        <v>59</v>
      </c>
      <c r="C21" s="16">
        <f>SUMIFS($E$13:$E$16,$B$13:$B$16,"CAA-1",$D$13:$D$16,"&lt;&gt;VAGO")</f>
        <v>0</v>
      </c>
      <c r="D21" s="16">
        <f>SUMIFS($E$13:$E$16,$B$13:$B$16,"CAA-1",$D$13:$D$16,"VAGO")</f>
        <v>0</v>
      </c>
      <c r="E21" s="16">
        <f t="shared" si="0"/>
        <v>0</v>
      </c>
      <c r="F21" s="22"/>
      <c r="G21" s="18">
        <f>SUMIF($B$13:$B$16,"CAA-1",$G$13:$G$16)</f>
        <v>0</v>
      </c>
      <c r="H21" s="18">
        <f>SUMIF($B$13:$B$16,"CAA-1",$H$13:$H$16)</f>
        <v>0</v>
      </c>
      <c r="I21" s="18">
        <f>SUMIF($B$13:$B$16,"CAA-1",$I$13:$I$16)</f>
        <v>0</v>
      </c>
    </row>
    <row r="22" spans="1:9" x14ac:dyDescent="0.25">
      <c r="A22" s="21" t="s">
        <v>60</v>
      </c>
      <c r="B22" s="7" t="s">
        <v>8</v>
      </c>
      <c r="C22" s="16">
        <v>0</v>
      </c>
      <c r="D22" s="16">
        <v>2</v>
      </c>
      <c r="E22" s="16">
        <v>2</v>
      </c>
      <c r="F22" s="22"/>
      <c r="G22" s="18">
        <f>SUMIF($B$13:$B$16,"CAA-2",$G$13:$G$16)</f>
        <v>0</v>
      </c>
      <c r="H22" s="55">
        <v>700.75</v>
      </c>
      <c r="I22" s="55">
        <v>3083.01</v>
      </c>
    </row>
    <row r="23" spans="1:9" x14ac:dyDescent="0.25">
      <c r="A23" s="21" t="s">
        <v>61</v>
      </c>
      <c r="B23" s="7" t="s">
        <v>9</v>
      </c>
      <c r="C23" s="16">
        <v>0</v>
      </c>
      <c r="D23" s="16">
        <v>1</v>
      </c>
      <c r="E23" s="16">
        <f t="shared" si="0"/>
        <v>1</v>
      </c>
      <c r="F23" s="20" t="s">
        <v>269</v>
      </c>
      <c r="G23" s="18">
        <f>SUMIF($B$13:$B$16,"CAA-3",$G$13:$G$16)</f>
        <v>0</v>
      </c>
      <c r="H23" s="55">
        <v>500.99</v>
      </c>
      <c r="I23" s="55">
        <v>2003.96</v>
      </c>
    </row>
    <row r="24" spans="1:9" x14ac:dyDescent="0.25">
      <c r="A24" s="21" t="s">
        <v>62</v>
      </c>
      <c r="B24" s="7" t="s">
        <v>32</v>
      </c>
      <c r="C24" s="16">
        <v>0</v>
      </c>
      <c r="D24" s="16">
        <v>1</v>
      </c>
      <c r="E24" s="16">
        <f t="shared" si="0"/>
        <v>1</v>
      </c>
      <c r="F24" s="20"/>
      <c r="G24" s="18">
        <f>SUMIF($B$13:$B$16,"CAA-4",$G$13:$G$16)</f>
        <v>0</v>
      </c>
      <c r="H24" s="18">
        <f>SUMIF($B$13:$B$16,"CAA-4",$H$13:$H$16)</f>
        <v>308.3</v>
      </c>
      <c r="I24" s="18">
        <f>SUMIF($B$13:$B$16,"CAA-4",$I$13:$I$16)</f>
        <v>1233.21</v>
      </c>
    </row>
    <row r="25" spans="1:9" x14ac:dyDescent="0.25">
      <c r="A25" s="21" t="s">
        <v>63</v>
      </c>
      <c r="B25" s="7" t="s">
        <v>64</v>
      </c>
      <c r="C25" s="16">
        <f>SUMIFS($E$13:$E$16,$B$13:$B$16,"CAA-5",$D$13:$D$16,"&lt;&gt;VAGO")</f>
        <v>0</v>
      </c>
      <c r="D25" s="16">
        <f>SUMIFS($E$13:$E$16,$B$13:$B$16,"CAA-5",$D$13:$D$16,"VAGO")</f>
        <v>0</v>
      </c>
      <c r="E25" s="16">
        <f t="shared" si="0"/>
        <v>0</v>
      </c>
      <c r="F25" s="20"/>
      <c r="G25" s="18">
        <f>SUMIF($B$13:$B$16,"CAA-5",$G$13:$G$16)</f>
        <v>0</v>
      </c>
      <c r="H25" s="18">
        <f>SUMIF($B$13:$B$16,"CAA-5",$H$13:$H$16)</f>
        <v>0</v>
      </c>
      <c r="I25" s="18">
        <f>SUMIF($B$13:$B$16,"CAA-5",$I$13:$I$16)</f>
        <v>0</v>
      </c>
    </row>
    <row r="26" spans="1:9" x14ac:dyDescent="0.25">
      <c r="A26" s="12" t="s">
        <v>65</v>
      </c>
      <c r="B26" s="14"/>
      <c r="C26" s="13">
        <v>1</v>
      </c>
      <c r="D26" s="13">
        <v>6</v>
      </c>
      <c r="E26" s="13">
        <f ca="1">SUM(E15:E25)</f>
        <v>7</v>
      </c>
      <c r="F26" s="14"/>
      <c r="G26" s="23">
        <f ca="1">SUM(G15:G25)</f>
        <v>0</v>
      </c>
      <c r="H26" s="23">
        <f ca="1">SUM(H15:H25)</f>
        <v>12366.33</v>
      </c>
      <c r="I26" s="23">
        <f ca="1">SUM(I15:I25)</f>
        <v>23521.24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x14ac:dyDescent="0.25">
      <c r="A30" s="33" t="s">
        <v>81</v>
      </c>
      <c r="B30" s="26" t="s">
        <v>3</v>
      </c>
      <c r="C30" s="6" t="s">
        <v>35</v>
      </c>
      <c r="D30" s="6" t="s">
        <v>24</v>
      </c>
      <c r="E30" s="7">
        <v>1</v>
      </c>
      <c r="F30" t="s">
        <v>314</v>
      </c>
      <c r="G30" s="18">
        <f ca="1">SUMIF($B$13:$B$16,"DAS",$G$13:$G$16)</f>
        <v>0</v>
      </c>
      <c r="H30" s="18">
        <v>4316.21</v>
      </c>
      <c r="I30" s="18">
        <v>4316.21</v>
      </c>
    </row>
    <row r="31" spans="1:9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 t="s">
        <v>295</v>
      </c>
      <c r="G31" s="8">
        <v>5404.89</v>
      </c>
      <c r="H31" s="18">
        <v>1726.48</v>
      </c>
      <c r="I31" s="18">
        <v>7131.37</v>
      </c>
    </row>
    <row r="32" spans="1:9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 t="s">
        <v>296</v>
      </c>
      <c r="G32" s="18">
        <v>7691</v>
      </c>
      <c r="H32" s="18">
        <v>3884.59</v>
      </c>
      <c r="I32" s="18">
        <v>11575.59</v>
      </c>
    </row>
    <row r="33" spans="1:10" ht="28.5" x14ac:dyDescent="0.25">
      <c r="A33" s="33" t="s">
        <v>76</v>
      </c>
      <c r="B33" s="26" t="s">
        <v>1</v>
      </c>
      <c r="C33" s="6" t="s">
        <v>35</v>
      </c>
      <c r="D33" s="6" t="s">
        <v>24</v>
      </c>
      <c r="E33" s="7">
        <v>1</v>
      </c>
      <c r="F33" s="37" t="s">
        <v>297</v>
      </c>
      <c r="G33" s="18">
        <v>7691</v>
      </c>
      <c r="H33" s="18">
        <v>3083.01</v>
      </c>
      <c r="I33" s="18">
        <v>10777.01</v>
      </c>
    </row>
    <row r="34" spans="1:10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10" x14ac:dyDescent="0.25">
      <c r="A35" s="15" t="s">
        <v>90</v>
      </c>
      <c r="B35" s="28" t="s">
        <v>91</v>
      </c>
      <c r="C35" s="16">
        <f ca="1">SUMIFS($E$30:$E$36,$B$30:$B$36,"FDA",$D$30:$D$36,"&lt;&gt;VAGO")</f>
        <v>0</v>
      </c>
      <c r="D35" s="16">
        <f ca="1">SUMIFS($E$30:$E$36,$B$30:$B$36,"FDA",$D$30:$D$36,"VAGO")</f>
        <v>0</v>
      </c>
      <c r="E35" s="16">
        <f t="shared" ref="E35:E39" ca="1" si="2">C35+D35</f>
        <v>0</v>
      </c>
      <c r="F35" s="17"/>
      <c r="G35" s="9">
        <f ca="1">SUMIF($B$30:$B$36,"FDA",$G$30:$G$36)</f>
        <v>0</v>
      </c>
      <c r="H35" s="9">
        <f ca="1">SUMIF($B$30:$B$36,"FDA",$H$30:$H$36)</f>
        <v>0</v>
      </c>
      <c r="I35" s="9">
        <f ca="1">SUMIF($B$30:$B$36,"FDA",$I$30:$I$36)</f>
        <v>0</v>
      </c>
    </row>
    <row r="36" spans="1:10" x14ac:dyDescent="0.25">
      <c r="A36" s="15" t="s">
        <v>92</v>
      </c>
      <c r="B36" s="28" t="s">
        <v>93</v>
      </c>
      <c r="C36" s="16">
        <f ca="1">SUMIFS($E$30:$E$36,$B$30:$B$36,"FDA-1",$D$30:$D$36,"&lt;&gt;VAGO")</f>
        <v>0</v>
      </c>
      <c r="D36" s="16">
        <f ca="1">SUMIFS($E$30:$E$36,$B$30:$B$36,"FDA-1",$D$30:$D$36,"VAGO")</f>
        <v>0</v>
      </c>
      <c r="E36" s="16">
        <f t="shared" ca="1" si="2"/>
        <v>0</v>
      </c>
      <c r="F36" s="17"/>
      <c r="G36" s="9">
        <f ca="1">SUMIF($B$30:$B$36,"FDA-1",$G$30:$G$36)</f>
        <v>0</v>
      </c>
      <c r="H36" s="9">
        <f ca="1">SUMIF($B$30:$B$36,"FDA-1",$H$30:$H$36)</f>
        <v>0</v>
      </c>
      <c r="I36" s="9">
        <f ca="1">SUMIF($B$30:$B$36,"FDA-1",$I$30:$I$36)</f>
        <v>0</v>
      </c>
    </row>
    <row r="37" spans="1:10" x14ac:dyDescent="0.25">
      <c r="A37" s="15" t="s">
        <v>94</v>
      </c>
      <c r="B37" s="28" t="s">
        <v>95</v>
      </c>
      <c r="C37" s="16">
        <f>SUMIFS($E$30:$E$36,$B$30:$B$36,"FDA-2",$D$30:$D$36,"&lt;&gt;VAGO")</f>
        <v>0</v>
      </c>
      <c r="D37" s="16">
        <f>SUMIFS($E$30:$E$36,$B$30:$B$36,"FDA-2",$D$30:$D$36,"VAGO")</f>
        <v>0</v>
      </c>
      <c r="E37" s="16">
        <f t="shared" si="2"/>
        <v>0</v>
      </c>
      <c r="F37" s="20"/>
      <c r="G37" s="9">
        <f>SUMIF($B$30:$B$36,"FDA-2",$G$30:$G$36)</f>
        <v>0</v>
      </c>
      <c r="H37" s="9">
        <f>SUMIF($B$30:$B$36,"FDA-2",$H$30:$H$36)</f>
        <v>0</v>
      </c>
      <c r="I37" s="9">
        <f>SUMIF($B$30:$B$36,"FDA-2",$I$30:$I$36)</f>
        <v>0</v>
      </c>
    </row>
    <row r="38" spans="1:10" x14ac:dyDescent="0.25">
      <c r="A38" s="15" t="s">
        <v>96</v>
      </c>
      <c r="B38" s="28" t="s">
        <v>3</v>
      </c>
      <c r="C38" s="16">
        <f>SUMIFS($E$30:$E$36,$B$30:$B$36,"FDA-3",$D$30:$D$36,"&lt;&gt;VAGO")</f>
        <v>3</v>
      </c>
      <c r="D38" s="16">
        <f>SUMIFS($E$30:$E$36,$B$30:$B$36,"FDA-3",$D$30:$D$36,"VAGO")</f>
        <v>0</v>
      </c>
      <c r="E38" s="16">
        <f t="shared" si="2"/>
        <v>3</v>
      </c>
      <c r="F38" s="22" t="s">
        <v>298</v>
      </c>
      <c r="G38" s="9">
        <v>15382</v>
      </c>
      <c r="H38" s="9">
        <v>6967.6</v>
      </c>
      <c r="I38" s="9">
        <v>22349.599999999999</v>
      </c>
    </row>
    <row r="39" spans="1:10" x14ac:dyDescent="0.25">
      <c r="A39" s="15" t="s">
        <v>97</v>
      </c>
      <c r="B39" s="28" t="s">
        <v>1</v>
      </c>
      <c r="C39" s="16">
        <f>SUMIFS($E$30:$E$36,$B$30:$B$36,"FDA-4",$D$30:$D$36,"&lt;&gt;VAGO")</f>
        <v>1</v>
      </c>
      <c r="D39" s="16">
        <f>SUMIFS($E$30:$E$36,$B$30:$B$36,"FDA-4",$D$30:$D$36,"VAGO")</f>
        <v>0</v>
      </c>
      <c r="E39" s="16">
        <f t="shared" si="2"/>
        <v>1</v>
      </c>
      <c r="F39" s="20" t="s">
        <v>299</v>
      </c>
      <c r="G39" s="9">
        <f>SUMIF($B$30:$B$36,"FDA-4",$G$30:$G$36)</f>
        <v>7691</v>
      </c>
      <c r="H39" s="9">
        <f>SUMIF($B$30:$B$36,"FDA-4",$H$30:$H$36)</f>
        <v>3083.01</v>
      </c>
      <c r="I39" s="9">
        <f>SUMIF($B$30:$B$36,"FDA-4",$I$30:$I$36)</f>
        <v>10777.01</v>
      </c>
    </row>
    <row r="40" spans="1:10" ht="30" x14ac:dyDescent="0.25">
      <c r="A40" s="12" t="s">
        <v>98</v>
      </c>
      <c r="B40" s="27"/>
      <c r="C40" s="13">
        <f t="shared" ref="C40:E40" ca="1" si="3">SUM(C36:C39)</f>
        <v>4</v>
      </c>
      <c r="D40" s="13">
        <f t="shared" ca="1" si="3"/>
        <v>0</v>
      </c>
      <c r="E40" s="13">
        <f t="shared" ca="1" si="3"/>
        <v>4</v>
      </c>
      <c r="F40" s="27"/>
      <c r="G40" s="29">
        <f t="shared" ref="G40:I40" ca="1" si="4">SUM(G35:G39)</f>
        <v>28238.09</v>
      </c>
      <c r="H40" s="29">
        <f t="shared" ca="1" si="4"/>
        <v>13820.380000000001</v>
      </c>
      <c r="I40" s="29">
        <f t="shared" ca="1" si="4"/>
        <v>42058.47</v>
      </c>
    </row>
    <row r="41" spans="1:10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10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10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10" x14ac:dyDescent="0.25">
      <c r="A44" s="42" t="s">
        <v>270</v>
      </c>
      <c r="B44" s="43" t="s">
        <v>4</v>
      </c>
      <c r="C44" s="44"/>
      <c r="D44" s="44" t="s">
        <v>24</v>
      </c>
      <c r="E44" s="45">
        <v>1</v>
      </c>
      <c r="F44" s="46" t="s">
        <v>271</v>
      </c>
      <c r="G44" s="8">
        <v>5933.35</v>
      </c>
      <c r="H44" s="8">
        <v>1392.8</v>
      </c>
      <c r="I44" s="9">
        <f>SUM(G44:H44)</f>
        <v>7326.1500000000005</v>
      </c>
      <c r="J44" s="47"/>
    </row>
    <row r="45" spans="1:10" x14ac:dyDescent="0.25">
      <c r="A45" s="42" t="s">
        <v>272</v>
      </c>
      <c r="B45" s="43" t="s">
        <v>4</v>
      </c>
      <c r="C45" s="44"/>
      <c r="D45" s="44" t="s">
        <v>24</v>
      </c>
      <c r="E45" s="45">
        <v>1</v>
      </c>
      <c r="F45" s="33" t="s">
        <v>222</v>
      </c>
      <c r="G45" s="8">
        <v>5675.13</v>
      </c>
      <c r="H45" s="8">
        <v>1392.8</v>
      </c>
      <c r="I45" s="9">
        <v>7067.93</v>
      </c>
      <c r="J45" s="47"/>
    </row>
    <row r="46" spans="1:10" x14ac:dyDescent="0.25">
      <c r="A46" s="31" t="s">
        <v>236</v>
      </c>
      <c r="B46" s="32" t="s">
        <v>4</v>
      </c>
      <c r="C46" s="32"/>
      <c r="D46" s="6" t="s">
        <v>24</v>
      </c>
      <c r="E46" s="7">
        <v>1</v>
      </c>
      <c r="F46" s="31" t="s">
        <v>218</v>
      </c>
      <c r="G46" s="8">
        <v>8075.56</v>
      </c>
      <c r="H46" s="8">
        <v>1392.8</v>
      </c>
      <c r="I46" s="9">
        <f>SUM(G46:H46)</f>
        <v>9468.36</v>
      </c>
    </row>
    <row r="47" spans="1:10" x14ac:dyDescent="0.25">
      <c r="A47" s="33" t="s">
        <v>237</v>
      </c>
      <c r="B47" s="32" t="s">
        <v>4</v>
      </c>
      <c r="C47" s="6"/>
      <c r="D47" s="6" t="s">
        <v>24</v>
      </c>
      <c r="E47" s="7">
        <v>1</v>
      </c>
      <c r="F47" s="33" t="s">
        <v>276</v>
      </c>
      <c r="G47" s="8">
        <v>5250.46</v>
      </c>
      <c r="H47" s="8">
        <v>1392.8</v>
      </c>
      <c r="I47" s="9">
        <f t="shared" ref="I47:I80" si="5">SUM(G47:H47)</f>
        <v>6643.26</v>
      </c>
    </row>
    <row r="48" spans="1:10" x14ac:dyDescent="0.25">
      <c r="A48" s="33" t="s">
        <v>238</v>
      </c>
      <c r="B48" s="32" t="s">
        <v>4</v>
      </c>
      <c r="C48" s="6"/>
      <c r="D48" s="6" t="s">
        <v>24</v>
      </c>
      <c r="E48" s="7">
        <v>1</v>
      </c>
      <c r="F48" s="33" t="s">
        <v>214</v>
      </c>
      <c r="G48" s="8">
        <v>8075.56</v>
      </c>
      <c r="H48" s="8">
        <v>1392.8</v>
      </c>
      <c r="I48" s="9">
        <f t="shared" si="5"/>
        <v>9468.36</v>
      </c>
    </row>
    <row r="49" spans="1:9" x14ac:dyDescent="0.25">
      <c r="A49" s="33" t="s">
        <v>239</v>
      </c>
      <c r="B49" s="32" t="s">
        <v>4</v>
      </c>
      <c r="C49" s="6"/>
      <c r="D49" s="6" t="s">
        <v>24</v>
      </c>
      <c r="E49" s="7">
        <v>1</v>
      </c>
      <c r="F49" s="33" t="s">
        <v>240</v>
      </c>
      <c r="G49" s="8">
        <v>7691</v>
      </c>
      <c r="H49" s="8">
        <v>1392.8</v>
      </c>
      <c r="I49" s="9">
        <f t="shared" si="5"/>
        <v>9083.7999999999993</v>
      </c>
    </row>
    <row r="50" spans="1:9" x14ac:dyDescent="0.25">
      <c r="A50" s="33" t="s">
        <v>241</v>
      </c>
      <c r="B50" s="32" t="s">
        <v>4</v>
      </c>
      <c r="C50" s="6"/>
      <c r="D50" s="6" t="s">
        <v>24</v>
      </c>
      <c r="E50" s="7">
        <v>1</v>
      </c>
      <c r="F50" s="33" t="s">
        <v>109</v>
      </c>
      <c r="G50" s="8">
        <v>8299.11</v>
      </c>
      <c r="H50" s="8">
        <v>1392.8</v>
      </c>
      <c r="I50" s="9">
        <f t="shared" si="5"/>
        <v>9691.91</v>
      </c>
    </row>
    <row r="51" spans="1:9" x14ac:dyDescent="0.25">
      <c r="A51" s="33" t="s">
        <v>242</v>
      </c>
      <c r="B51" s="32" t="s">
        <v>4</v>
      </c>
      <c r="C51" s="6"/>
      <c r="D51" s="6" t="s">
        <v>24</v>
      </c>
      <c r="E51" s="7">
        <v>1</v>
      </c>
      <c r="F51" s="33" t="s">
        <v>277</v>
      </c>
      <c r="G51" s="8">
        <v>4902.3900000000003</v>
      </c>
      <c r="H51" s="8">
        <v>1392.8</v>
      </c>
      <c r="I51" s="9">
        <f t="shared" si="5"/>
        <v>6295.1900000000005</v>
      </c>
    </row>
    <row r="52" spans="1:9" x14ac:dyDescent="0.25">
      <c r="A52" s="33" t="s">
        <v>243</v>
      </c>
      <c r="B52" s="32" t="s">
        <v>4</v>
      </c>
      <c r="C52" s="6"/>
      <c r="D52" s="6" t="s">
        <v>24</v>
      </c>
      <c r="E52" s="7">
        <v>1</v>
      </c>
      <c r="F52" s="33" t="s">
        <v>111</v>
      </c>
      <c r="G52" s="8">
        <v>7691</v>
      </c>
      <c r="H52" s="8">
        <v>1392.8</v>
      </c>
      <c r="I52" s="9">
        <f t="shared" si="5"/>
        <v>9083.7999999999993</v>
      </c>
    </row>
    <row r="53" spans="1:9" x14ac:dyDescent="0.25">
      <c r="A53" s="33" t="s">
        <v>244</v>
      </c>
      <c r="B53" s="32" t="s">
        <v>4</v>
      </c>
      <c r="C53" s="6"/>
      <c r="D53" s="6" t="s">
        <v>24</v>
      </c>
      <c r="E53" s="7">
        <v>1</v>
      </c>
      <c r="F53" s="33" t="s">
        <v>215</v>
      </c>
      <c r="G53" s="8">
        <v>7691</v>
      </c>
      <c r="H53" s="8">
        <v>1392.8</v>
      </c>
      <c r="I53" s="9">
        <f t="shared" si="5"/>
        <v>9083.7999999999993</v>
      </c>
    </row>
    <row r="54" spans="1:9" x14ac:dyDescent="0.25">
      <c r="A54" s="33" t="s">
        <v>245</v>
      </c>
      <c r="B54" s="32" t="s">
        <v>4</v>
      </c>
      <c r="C54" s="6"/>
      <c r="D54" s="6" t="s">
        <v>24</v>
      </c>
      <c r="E54" s="7">
        <v>1</v>
      </c>
      <c r="F54" s="33" t="s">
        <v>216</v>
      </c>
      <c r="G54" s="8">
        <v>8075.56</v>
      </c>
      <c r="H54" s="8">
        <v>1392.8</v>
      </c>
      <c r="I54" s="9">
        <f t="shared" si="5"/>
        <v>9468.36</v>
      </c>
    </row>
    <row r="55" spans="1:9" x14ac:dyDescent="0.25">
      <c r="A55" s="33" t="s">
        <v>246</v>
      </c>
      <c r="B55" s="32" t="s">
        <v>4</v>
      </c>
      <c r="C55" s="6"/>
      <c r="D55" s="6" t="s">
        <v>24</v>
      </c>
      <c r="E55" s="7">
        <v>1</v>
      </c>
      <c r="F55" s="33" t="s">
        <v>112</v>
      </c>
      <c r="G55" s="8">
        <v>8075.56</v>
      </c>
      <c r="H55" s="8">
        <v>1392.8</v>
      </c>
      <c r="I55" s="9">
        <f t="shared" si="5"/>
        <v>9468.36</v>
      </c>
    </row>
    <row r="56" spans="1:9" x14ac:dyDescent="0.25">
      <c r="A56" s="33" t="s">
        <v>247</v>
      </c>
      <c r="B56" s="32" t="s">
        <v>4</v>
      </c>
      <c r="C56" s="6"/>
      <c r="D56" s="6" t="s">
        <v>24</v>
      </c>
      <c r="E56" s="7">
        <v>1</v>
      </c>
      <c r="F56" s="33" t="s">
        <v>219</v>
      </c>
      <c r="G56" s="8">
        <v>7691</v>
      </c>
      <c r="H56" s="8">
        <v>1392.8</v>
      </c>
      <c r="I56" s="9">
        <f t="shared" si="5"/>
        <v>9083.7999999999993</v>
      </c>
    </row>
    <row r="57" spans="1:9" x14ac:dyDescent="0.25">
      <c r="A57" s="33" t="s">
        <v>248</v>
      </c>
      <c r="B57" s="32" t="s">
        <v>4</v>
      </c>
      <c r="C57" s="6"/>
      <c r="D57" s="6" t="s">
        <v>24</v>
      </c>
      <c r="E57" s="7">
        <v>1</v>
      </c>
      <c r="F57" s="33" t="s">
        <v>113</v>
      </c>
      <c r="G57" s="8">
        <v>2295.89</v>
      </c>
      <c r="H57" s="8">
        <v>1392.8</v>
      </c>
      <c r="I57" s="9">
        <f t="shared" si="5"/>
        <v>3688.6899999999996</v>
      </c>
    </row>
    <row r="58" spans="1:9" x14ac:dyDescent="0.25">
      <c r="A58" s="33" t="s">
        <v>249</v>
      </c>
      <c r="B58" s="32" t="s">
        <v>4</v>
      </c>
      <c r="C58" s="6"/>
      <c r="D58" s="6" t="s">
        <v>24</v>
      </c>
      <c r="E58" s="7">
        <v>1</v>
      </c>
      <c r="F58" s="33" t="s">
        <v>114</v>
      </c>
      <c r="G58" s="8">
        <v>5125.45</v>
      </c>
      <c r="H58" s="8">
        <v>1392.8</v>
      </c>
      <c r="I58" s="9">
        <f>SUM(G58:H58)</f>
        <v>6518.25</v>
      </c>
    </row>
    <row r="59" spans="1:9" x14ac:dyDescent="0.25">
      <c r="A59" s="33" t="s">
        <v>250</v>
      </c>
      <c r="B59" s="32" t="s">
        <v>4</v>
      </c>
      <c r="C59" s="6"/>
      <c r="D59" s="6" t="s">
        <v>117</v>
      </c>
      <c r="E59" s="7">
        <v>1</v>
      </c>
      <c r="F59" s="33" t="s">
        <v>251</v>
      </c>
      <c r="G59" s="8">
        <v>0</v>
      </c>
      <c r="H59" s="8">
        <v>1392.8</v>
      </c>
      <c r="I59" s="9">
        <f t="shared" si="5"/>
        <v>1392.8</v>
      </c>
    </row>
    <row r="60" spans="1:9" x14ac:dyDescent="0.25">
      <c r="A60" s="33" t="s">
        <v>252</v>
      </c>
      <c r="B60" s="32" t="s">
        <v>4</v>
      </c>
      <c r="C60" s="6"/>
      <c r="D60" s="6" t="s">
        <v>24</v>
      </c>
      <c r="E60" s="7">
        <v>1</v>
      </c>
      <c r="F60" s="33" t="s">
        <v>115</v>
      </c>
      <c r="G60" s="8">
        <v>5933.35</v>
      </c>
      <c r="H60" s="8">
        <v>1392.8</v>
      </c>
      <c r="I60" s="9">
        <f t="shared" si="5"/>
        <v>7326.1500000000005</v>
      </c>
    </row>
    <row r="61" spans="1:9" x14ac:dyDescent="0.25">
      <c r="A61" s="33" t="s">
        <v>253</v>
      </c>
      <c r="B61" s="32" t="s">
        <v>4</v>
      </c>
      <c r="C61" s="6"/>
      <c r="D61" s="6" t="s">
        <v>24</v>
      </c>
      <c r="E61" s="7">
        <v>1</v>
      </c>
      <c r="F61" s="33" t="s">
        <v>220</v>
      </c>
      <c r="G61" s="8">
        <v>5125.45</v>
      </c>
      <c r="H61" s="8">
        <v>1392.8</v>
      </c>
      <c r="I61" s="9">
        <f t="shared" si="5"/>
        <v>6518.25</v>
      </c>
    </row>
    <row r="62" spans="1:9" x14ac:dyDescent="0.25">
      <c r="A62" s="33" t="s">
        <v>254</v>
      </c>
      <c r="B62" s="32" t="s">
        <v>4</v>
      </c>
      <c r="C62" s="6"/>
      <c r="D62" s="6" t="s">
        <v>24</v>
      </c>
      <c r="E62" s="7">
        <v>1</v>
      </c>
      <c r="F62" s="33" t="s">
        <v>116</v>
      </c>
      <c r="G62" s="8">
        <v>5404.89</v>
      </c>
      <c r="H62" s="8">
        <v>1392.8</v>
      </c>
      <c r="I62" s="9">
        <f t="shared" si="5"/>
        <v>6797.6900000000005</v>
      </c>
    </row>
    <row r="63" spans="1:9" x14ac:dyDescent="0.25">
      <c r="A63" s="33" t="s">
        <v>255</v>
      </c>
      <c r="B63" s="32" t="s">
        <v>4</v>
      </c>
      <c r="C63" s="6"/>
      <c r="D63" s="6" t="s">
        <v>24</v>
      </c>
      <c r="E63" s="7">
        <v>1</v>
      </c>
      <c r="F63" s="33" t="s">
        <v>261</v>
      </c>
      <c r="G63" s="8">
        <v>5650.81</v>
      </c>
      <c r="H63" s="8">
        <v>1392.8</v>
      </c>
      <c r="I63" s="9">
        <f t="shared" si="5"/>
        <v>7043.6100000000006</v>
      </c>
    </row>
    <row r="64" spans="1:9" x14ac:dyDescent="0.25">
      <c r="A64" s="33" t="s">
        <v>256</v>
      </c>
      <c r="B64" s="32" t="s">
        <v>4</v>
      </c>
      <c r="C64" s="6"/>
      <c r="D64" s="6" t="s">
        <v>117</v>
      </c>
      <c r="E64" s="7">
        <v>1</v>
      </c>
      <c r="F64" s="33" t="s">
        <v>257</v>
      </c>
      <c r="G64" s="8">
        <v>0</v>
      </c>
      <c r="H64" s="8">
        <v>1392.8</v>
      </c>
      <c r="I64" s="9">
        <f t="shared" si="5"/>
        <v>1392.8</v>
      </c>
    </row>
    <row r="65" spans="1:9" x14ac:dyDescent="0.25">
      <c r="A65" s="33" t="s">
        <v>258</v>
      </c>
      <c r="B65" s="32" t="s">
        <v>4</v>
      </c>
      <c r="C65" s="6"/>
      <c r="D65" s="6" t="s">
        <v>24</v>
      </c>
      <c r="E65" s="7">
        <v>1</v>
      </c>
      <c r="F65" s="33" t="s">
        <v>232</v>
      </c>
      <c r="G65" s="8">
        <v>8075.56</v>
      </c>
      <c r="H65" s="8">
        <v>1392.8</v>
      </c>
      <c r="I65" s="9">
        <f t="shared" si="5"/>
        <v>9468.36</v>
      </c>
    </row>
    <row r="66" spans="1:9" ht="28.5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54" t="s">
        <v>300</v>
      </c>
      <c r="G66" s="8" t="s">
        <v>301</v>
      </c>
      <c r="H66" s="8" t="s">
        <v>302</v>
      </c>
      <c r="I66" s="9" t="s">
        <v>303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si="5"/>
        <v>6524.89</v>
      </c>
    </row>
    <row r="69" spans="1:9" x14ac:dyDescent="0.25">
      <c r="A69" s="33" t="s">
        <v>260</v>
      </c>
      <c r="B69" s="32" t="s">
        <v>6</v>
      </c>
      <c r="C69" s="6"/>
      <c r="D69" s="6" t="s">
        <v>24</v>
      </c>
      <c r="E69" s="7">
        <v>1</v>
      </c>
      <c r="F69" s="33" t="s">
        <v>119</v>
      </c>
      <c r="G69" s="8">
        <v>2531.2199999999998</v>
      </c>
      <c r="H69" s="8">
        <v>505.81</v>
      </c>
      <c r="I69" s="9">
        <f t="shared" si="5"/>
        <v>3037.0299999999997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5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5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5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304</v>
      </c>
      <c r="G73" s="8">
        <v>5763.82</v>
      </c>
      <c r="H73" s="8">
        <v>505.81</v>
      </c>
      <c r="I73" s="9">
        <f t="shared" si="5"/>
        <v>6269.63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5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5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117</v>
      </c>
      <c r="E76" s="7">
        <v>1</v>
      </c>
      <c r="F76" s="31" t="s">
        <v>226</v>
      </c>
      <c r="G76" s="8">
        <v>0</v>
      </c>
      <c r="H76" s="8">
        <v>465.35</v>
      </c>
      <c r="I76" s="9">
        <f t="shared" si="5"/>
        <v>465.35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5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305</v>
      </c>
      <c r="G78" s="8">
        <v>5563.85</v>
      </c>
      <c r="H78" s="8">
        <v>465.35</v>
      </c>
      <c r="I78" s="9">
        <f t="shared" si="5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5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5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22</v>
      </c>
      <c r="D82" s="16">
        <v>1</v>
      </c>
      <c r="E82" s="16">
        <v>23</v>
      </c>
      <c r="F82" s="17"/>
      <c r="G82" s="9">
        <f>SUMIF($B$49:$B$68,"FGS-1",$G$49:$G$68)</f>
        <v>97728.01999999999</v>
      </c>
      <c r="H82" s="9">
        <f>SUMIF($B$49:$B$68,"FGS-1",$H$49:$H$68)</f>
        <v>23677.599999999991</v>
      </c>
      <c r="I82" s="9">
        <f>SUMIF($B$49:$B$68,"FGS-1",$I$49:$I$68)</f>
        <v>121405.62000000001</v>
      </c>
    </row>
    <row r="83" spans="1:9" ht="30" x14ac:dyDescent="0.25">
      <c r="A83" s="15" t="s">
        <v>129</v>
      </c>
      <c r="B83" s="28" t="s">
        <v>130</v>
      </c>
      <c r="C83" s="16">
        <f>SUMIFS($E$49:$E$83,$B$49:$B$83,"FGS-2",$D$49:$D$83,"&lt;&gt;VAGO")</f>
        <v>3</v>
      </c>
      <c r="D83" s="16">
        <f>SUMIFS($E$49:$E$83,$B$49:$B$83,"FGS-2",$D$49:$D$83,"VAGO")</f>
        <v>0</v>
      </c>
      <c r="E83" s="16">
        <f t="shared" ref="E83:E87" si="6">C83+D83</f>
        <v>3</v>
      </c>
      <c r="F83" s="20" t="s">
        <v>306</v>
      </c>
      <c r="G83" s="9">
        <v>25123.200000000001</v>
      </c>
      <c r="H83" s="9">
        <v>3010.63</v>
      </c>
      <c r="I83" s="9">
        <v>28133.83</v>
      </c>
    </row>
    <row r="84" spans="1:9" x14ac:dyDescent="0.25">
      <c r="A84" s="15" t="s">
        <v>131</v>
      </c>
      <c r="B84" s="28" t="s">
        <v>132</v>
      </c>
      <c r="C84" s="16">
        <f>SUMIFS($E$49:$E$83,$B$49:$B$83,"FGS-3",$D$49:$D$83,"&lt;&gt;VAGO")</f>
        <v>0</v>
      </c>
      <c r="D84" s="16">
        <f>SUMIFS($E$49:$E$83,$B$49:$B$83,"FGS-3",$D$49:$D$83,"VAGO")</f>
        <v>0</v>
      </c>
      <c r="E84" s="16">
        <f t="shared" si="6"/>
        <v>0</v>
      </c>
      <c r="F84" s="20"/>
      <c r="G84" s="9">
        <f>SUMIF($B$49:$B$83,"FGS-3",$G$49:$G$83)</f>
        <v>0</v>
      </c>
      <c r="H84" s="9">
        <f>SUMIF($B$49:$B$83,"FGS-3",$G$49:$G$83)</f>
        <v>0</v>
      </c>
      <c r="I84" s="9">
        <f>SUMIF($B$49:$B$83,"FGS-3",$G$49:$G$83)</f>
        <v>0</v>
      </c>
    </row>
    <row r="85" spans="1:9" x14ac:dyDescent="0.25">
      <c r="A85" s="21" t="s">
        <v>133</v>
      </c>
      <c r="B85" s="34" t="s">
        <v>134</v>
      </c>
      <c r="C85" s="16">
        <f>SUMIFS($E$49:$E$83,$B$49:$B$83,"FGA-1",$D$49:$D$83,"&lt;&gt;VAGO")</f>
        <v>5</v>
      </c>
      <c r="D85" s="16">
        <f>SUMIFS($E$49:$E$83,$B$49:$B$83,"FGA-1",$D$49:$D$83,"VAGO")</f>
        <v>0</v>
      </c>
      <c r="E85" s="16">
        <f t="shared" si="6"/>
        <v>5</v>
      </c>
      <c r="F85" s="22"/>
      <c r="G85" s="9">
        <f>SUMIF($B$72:$B$76,"FGA-1",$G$72:$G$76)</f>
        <v>5763.82</v>
      </c>
      <c r="H85" s="9">
        <f>SUMIF($B$72:$B$76,"FGA-1",$H$72:$H$76)</f>
        <v>1011.62</v>
      </c>
      <c r="I85" s="9">
        <f>SUMIF($B$72:$B$76,"FGA-1",$I$72:$I$76)</f>
        <v>6775.4400000000005</v>
      </c>
    </row>
    <row r="86" spans="1:9" x14ac:dyDescent="0.25">
      <c r="A86" s="15" t="s">
        <v>135</v>
      </c>
      <c r="B86" s="28" t="s">
        <v>7</v>
      </c>
      <c r="C86" s="16">
        <f>SUMIFS($E$49:$E$83,$B$49:$B$83,"FGA-2",$D$49:$D$83,"&lt;&gt;VAGO")</f>
        <v>7</v>
      </c>
      <c r="D86" s="16">
        <f>SUMIFS($E$49:$E$83,$B$49:$B$83,"FGA-2",$D$49:$D$83,"VAGO")</f>
        <v>0</v>
      </c>
      <c r="E86" s="16">
        <f t="shared" si="6"/>
        <v>7</v>
      </c>
      <c r="F86" s="22"/>
      <c r="G86" s="9">
        <f>SUMIF($B$77:$B$83,"FGA-2",$G$77:$G$83)</f>
        <v>10004.1</v>
      </c>
      <c r="H86" s="9">
        <f>SUMIF($B$77:$B$83,"FGA-2",$H$77:$H$83)</f>
        <v>1861.4</v>
      </c>
      <c r="I86" s="9">
        <f>SUMIF($B$77:$B$83,"FGA-2",$I$77:$I$83)</f>
        <v>11865.500000000002</v>
      </c>
    </row>
    <row r="87" spans="1:9" x14ac:dyDescent="0.25">
      <c r="A87" s="15" t="s">
        <v>136</v>
      </c>
      <c r="B87" s="28" t="s">
        <v>137</v>
      </c>
      <c r="C87" s="16">
        <f>SUMIFS($E$49:$E$83,$B$49:$B$83,"FGA-3",$D$49:$D$83,"&lt;&gt;VAGO")</f>
        <v>0</v>
      </c>
      <c r="D87" s="16">
        <f>SUMIFS($E$49:$E$83,$B$49:$B$83,"FGA-3",$D$49:$D$83,"VAGO")</f>
        <v>0</v>
      </c>
      <c r="E87" s="16">
        <f t="shared" si="6"/>
        <v>0</v>
      </c>
      <c r="F87" s="20"/>
      <c r="G87" s="9">
        <f>SUMIF($B$49:$B$83,"FGA-3",$G$49:$G$83)</f>
        <v>0</v>
      </c>
      <c r="H87" s="9">
        <f>SUMIF($B$49:$B$83,"FGA-3",$G$49:$G$83)</f>
        <v>0</v>
      </c>
      <c r="I87" s="9">
        <f>SUMIF($B$49:$B$83,"FGA-3",$G$49:$G$83)</f>
        <v>0</v>
      </c>
    </row>
    <row r="88" spans="1:9" ht="30" x14ac:dyDescent="0.25">
      <c r="A88" s="12" t="s">
        <v>138</v>
      </c>
      <c r="B88" s="27"/>
      <c r="C88" s="13">
        <f t="shared" ref="C88:E88" si="7">SUM(C82:C87)</f>
        <v>37</v>
      </c>
      <c r="D88" s="13">
        <f t="shared" si="7"/>
        <v>1</v>
      </c>
      <c r="E88" s="13">
        <f t="shared" si="7"/>
        <v>38</v>
      </c>
      <c r="F88" s="27"/>
      <c r="G88" s="29">
        <f>SUM(G82:G87)</f>
        <v>138619.13999999998</v>
      </c>
      <c r="H88" s="29">
        <f>SUM(H82:H87)</f>
        <v>29561.249999999993</v>
      </c>
      <c r="I88" s="29">
        <f>SUM(I82:I87)</f>
        <v>168180.39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f ca="1">SUM(C26+C40+C88)</f>
        <v>46</v>
      </c>
      <c r="D91" s="13">
        <f ca="1">SUM(D26+D40+D88)</f>
        <v>0</v>
      </c>
      <c r="E91" s="13">
        <f ca="1">SUM(E26+E40+E88)</f>
        <v>46</v>
      </c>
      <c r="F91" s="14"/>
      <c r="G91" s="29">
        <f ca="1">SUM(H26+G40+G88)</f>
        <v>185959.39</v>
      </c>
      <c r="H91" s="29">
        <f ca="1">SUM(I26+H40+H88)</f>
        <v>68541.39</v>
      </c>
      <c r="I91" s="29">
        <f ca="1">SUM(J26+I40+I88)</f>
        <v>254500.78000000003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28"/>
      <c r="C93" s="128"/>
      <c r="D93" s="128"/>
      <c r="E93" s="128"/>
      <c r="F93" s="129"/>
      <c r="G93" s="10"/>
      <c r="H93" s="19"/>
      <c r="I93" s="19"/>
    </row>
    <row r="94" spans="1:9" x14ac:dyDescent="0.25">
      <c r="A94" s="131" t="s">
        <v>147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31" t="s">
        <v>148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149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150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151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228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24" t="s">
        <v>234</v>
      </c>
      <c r="B100" s="125"/>
      <c r="C100" s="125"/>
      <c r="D100" s="125"/>
      <c r="E100" s="125"/>
      <c r="F100" s="126"/>
      <c r="G100" s="10"/>
      <c r="H100" s="19"/>
      <c r="I100" s="19"/>
    </row>
    <row r="101" spans="1:9" x14ac:dyDescent="0.25">
      <c r="A101" s="124" t="s">
        <v>265</v>
      </c>
      <c r="B101" s="125"/>
      <c r="C101" s="125"/>
      <c r="D101" s="125"/>
      <c r="E101" s="125"/>
      <c r="F101" s="126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3"/>
      <c r="B103" s="128"/>
      <c r="C103" s="128"/>
      <c r="D103" s="128"/>
      <c r="E103" s="128"/>
      <c r="F103" s="129"/>
      <c r="G103" s="10"/>
      <c r="H103" s="19"/>
      <c r="I103" s="19"/>
    </row>
    <row r="104" spans="1:9" x14ac:dyDescent="0.25">
      <c r="A104" s="133"/>
      <c r="B104" s="128"/>
      <c r="C104" s="128"/>
      <c r="D104" s="128"/>
      <c r="E104" s="128"/>
      <c r="F104" s="129"/>
      <c r="G104" s="10"/>
      <c r="H104" s="19"/>
      <c r="I104" s="19"/>
    </row>
    <row r="105" spans="1:9" x14ac:dyDescent="0.25">
      <c r="A105" s="134"/>
      <c r="B105" s="135"/>
      <c r="C105" s="135"/>
      <c r="D105" s="135"/>
      <c r="E105" s="135"/>
      <c r="F105" s="136"/>
      <c r="G105" s="10"/>
      <c r="H105" s="19"/>
      <c r="I105" s="19"/>
    </row>
    <row r="106" spans="1:9" x14ac:dyDescent="0.25">
      <c r="A106" s="137"/>
      <c r="B106" s="138"/>
      <c r="C106" s="138"/>
      <c r="D106" s="138"/>
      <c r="E106" s="138"/>
      <c r="F106" s="138"/>
      <c r="G106" s="10"/>
      <c r="H106" s="19"/>
      <c r="I106" s="19"/>
    </row>
    <row r="107" spans="1:9" x14ac:dyDescent="0.25">
      <c r="A107" s="139" t="s">
        <v>152</v>
      </c>
      <c r="B107" s="140"/>
      <c r="C107" s="140"/>
      <c r="D107" s="140"/>
      <c r="E107" s="140"/>
      <c r="F107" s="141"/>
      <c r="G107" s="10"/>
      <c r="H107" s="19"/>
      <c r="I107" s="19"/>
    </row>
    <row r="108" spans="1:9" x14ac:dyDescent="0.25">
      <c r="A108" s="142" t="s">
        <v>153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154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155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156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157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158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159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160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161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162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163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164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165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166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167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168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169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170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171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172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173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174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175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176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177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178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179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180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181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182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183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184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185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186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187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188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189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190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191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192</v>
      </c>
      <c r="B147" s="128"/>
      <c r="C147" s="128"/>
      <c r="D147" s="128"/>
      <c r="E147" s="128"/>
      <c r="F147" s="129"/>
      <c r="G147" s="10"/>
      <c r="H147" s="19"/>
      <c r="I147" s="19"/>
    </row>
    <row r="148" spans="1:9" x14ac:dyDescent="0.25">
      <c r="A148" s="132" t="s">
        <v>193</v>
      </c>
      <c r="B148" s="128"/>
      <c r="C148" s="128"/>
      <c r="D148" s="128"/>
      <c r="E148" s="128"/>
      <c r="F148" s="129"/>
      <c r="G148" s="10"/>
      <c r="H148" s="19"/>
      <c r="I148" s="19"/>
    </row>
    <row r="149" spans="1:9" x14ac:dyDescent="0.25">
      <c r="A149" s="132" t="s">
        <v>194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195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196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197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198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199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200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201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202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203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204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205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206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207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208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209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210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211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132" t="s">
        <v>212</v>
      </c>
      <c r="B167" s="128"/>
      <c r="C167" s="128"/>
      <c r="D167" s="128"/>
      <c r="E167" s="128"/>
      <c r="F167" s="129"/>
      <c r="G167" s="35"/>
      <c r="H167" s="35"/>
      <c r="I167" s="35"/>
    </row>
    <row r="168" spans="1:9" x14ac:dyDescent="0.25">
      <c r="A168" s="132" t="s">
        <v>213</v>
      </c>
      <c r="B168" s="128"/>
      <c r="C168" s="128"/>
      <c r="D168" s="128"/>
      <c r="E168" s="128"/>
      <c r="F168" s="12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1" spans="1:9" x14ac:dyDescent="0.25">
      <c r="A171" t="s">
        <v>315</v>
      </c>
    </row>
    <row r="175" spans="1:9" x14ac:dyDescent="0.25">
      <c r="A175" s="39" t="s">
        <v>316</v>
      </c>
    </row>
    <row r="176" spans="1:9" x14ac:dyDescent="0.25">
      <c r="A176" s="40" t="s">
        <v>10</v>
      </c>
    </row>
    <row r="177" spans="1:1" x14ac:dyDescent="0.25">
      <c r="A177" s="39" t="s">
        <v>235</v>
      </c>
    </row>
  </sheetData>
  <mergeCells count="83">
    <mergeCell ref="A160:F160"/>
    <mergeCell ref="A149:F149"/>
    <mergeCell ref="A150:F150"/>
    <mergeCell ref="A151:F151"/>
    <mergeCell ref="A152:F152"/>
    <mergeCell ref="A155:F155"/>
    <mergeCell ref="A156:F156"/>
    <mergeCell ref="A157:F157"/>
    <mergeCell ref="A167:F167"/>
    <mergeCell ref="A168:F168"/>
    <mergeCell ref="A161:F161"/>
    <mergeCell ref="A162:F162"/>
    <mergeCell ref="A163:F163"/>
    <mergeCell ref="A164:F164"/>
    <mergeCell ref="A165:F165"/>
    <mergeCell ref="A166:F166"/>
    <mergeCell ref="A1:J1"/>
    <mergeCell ref="A2:J2"/>
    <mergeCell ref="A3:J3"/>
    <mergeCell ref="A158:F158"/>
    <mergeCell ref="A159:F159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53:F153"/>
    <mergeCell ref="A154:F154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00:F100"/>
    <mergeCell ref="B4:J4"/>
    <mergeCell ref="A5:J5"/>
    <mergeCell ref="A28:I28"/>
    <mergeCell ref="A42:I42"/>
    <mergeCell ref="A93:F93"/>
    <mergeCell ref="A94:F94"/>
    <mergeCell ref="A95:F95"/>
    <mergeCell ref="A96:F96"/>
    <mergeCell ref="A97:F97"/>
    <mergeCell ref="A98:F98"/>
    <mergeCell ref="A99:F99"/>
  </mergeCells>
  <dataValidations count="4">
    <dataValidation type="list" allowBlank="1" sqref="B7:B13" xr:uid="{1245AD5C-651F-4CEF-AFAE-B58126158771}">
      <formula1>"DAS,DAS-1,DAS-2,DAS-3,DAS-4,DAS-5,CAA-1,CAA-2,CAA-3,CAA-4,CAA-5"</formula1>
    </dataValidation>
    <dataValidation type="list" allowBlank="1" sqref="B30:B33" xr:uid="{82503A16-13C1-4009-A990-AC237DEA0937}">
      <formula1>"FDA,FDA-1,FDA-2,FDA-3,FDA-4"</formula1>
    </dataValidation>
    <dataValidation type="list" allowBlank="1" sqref="B44:B80" xr:uid="{94BB06CD-7562-4CF9-83FD-7A93718C94E6}">
      <formula1>"FGS-1,FGS-2,FGS-3,FGA-1,FGA-2,FGA-3"</formula1>
    </dataValidation>
    <dataValidation type="list" allowBlank="1" sqref="D44:D80 D30:D33 D7:D13" xr:uid="{BCC31ECC-6898-45B8-BC73-56228D4562E7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7325-7175-40ED-ABDB-6891BF1029AE}">
  <dimension ref="A1:AA177"/>
  <sheetViews>
    <sheetView workbookViewId="0">
      <selection activeCell="A2" sqref="A2:J2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91.7109375" customWidth="1"/>
    <col min="7" max="7" width="15.7109375" customWidth="1"/>
    <col min="8" max="8" width="13.5703125" customWidth="1"/>
    <col min="9" max="9" width="17.85546875" customWidth="1"/>
    <col min="10" max="10" width="16" customWidth="1"/>
  </cols>
  <sheetData>
    <row r="1" spans="1:27" ht="21" x14ac:dyDescent="0.35">
      <c r="A1" s="143" t="s">
        <v>324</v>
      </c>
      <c r="B1" s="144"/>
      <c r="C1" s="144"/>
      <c r="D1" s="144"/>
      <c r="E1" s="144"/>
      <c r="F1" s="144"/>
      <c r="G1" s="144"/>
      <c r="H1" s="144"/>
      <c r="I1" s="144"/>
      <c r="J1" s="144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5">
      <c r="A2" s="145" t="s">
        <v>369</v>
      </c>
      <c r="B2" s="146"/>
      <c r="C2" s="146"/>
      <c r="D2" s="146"/>
      <c r="E2" s="146"/>
      <c r="F2" s="146"/>
      <c r="G2" s="146"/>
      <c r="H2" s="146"/>
      <c r="I2" s="146"/>
      <c r="J2" s="146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ht="21" x14ac:dyDescent="0.3">
      <c r="A3" s="145" t="s">
        <v>325</v>
      </c>
      <c r="B3" s="146"/>
      <c r="C3" s="146"/>
      <c r="D3" s="146"/>
      <c r="E3" s="146"/>
      <c r="F3" s="146"/>
      <c r="G3" s="146"/>
      <c r="H3" s="146"/>
      <c r="I3" s="146"/>
      <c r="J3" s="146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59"/>
    </row>
    <row r="4" spans="1:27" x14ac:dyDescent="0.25">
      <c r="A4" s="60">
        <v>45126</v>
      </c>
      <c r="B4" s="147" t="s">
        <v>11</v>
      </c>
      <c r="C4" s="128"/>
      <c r="D4" s="128"/>
      <c r="E4" s="128"/>
      <c r="F4" s="128"/>
      <c r="G4" s="128"/>
      <c r="H4" s="128"/>
      <c r="I4" s="128"/>
      <c r="J4" s="129"/>
    </row>
    <row r="5" spans="1:27" x14ac:dyDescent="0.25">
      <c r="A5" s="127" t="s">
        <v>12</v>
      </c>
      <c r="B5" s="128"/>
      <c r="C5" s="128"/>
      <c r="D5" s="128"/>
      <c r="E5" s="128"/>
      <c r="F5" s="128"/>
      <c r="G5" s="128"/>
      <c r="H5" s="128"/>
      <c r="I5" s="128"/>
      <c r="J5" s="129"/>
    </row>
    <row r="6" spans="1:27" ht="45" x14ac:dyDescent="0.25">
      <c r="A6" s="3" t="s">
        <v>13</v>
      </c>
      <c r="B6" s="4" t="s">
        <v>14</v>
      </c>
      <c r="C6" s="4" t="s">
        <v>15</v>
      </c>
      <c r="D6" s="4" t="s">
        <v>16</v>
      </c>
      <c r="E6" s="4" t="s">
        <v>17</v>
      </c>
      <c r="F6" s="3" t="s">
        <v>18</v>
      </c>
      <c r="G6" s="4" t="s">
        <v>19</v>
      </c>
      <c r="H6" s="4" t="s">
        <v>20</v>
      </c>
      <c r="I6" s="4" t="s">
        <v>21</v>
      </c>
      <c r="J6" s="4" t="s">
        <v>281</v>
      </c>
    </row>
    <row r="7" spans="1:27" x14ac:dyDescent="0.25">
      <c r="A7" s="11" t="s">
        <v>282</v>
      </c>
      <c r="B7" s="5" t="s">
        <v>0</v>
      </c>
      <c r="C7" s="6" t="s">
        <v>283</v>
      </c>
      <c r="D7" s="6" t="s">
        <v>24</v>
      </c>
      <c r="E7" s="49">
        <v>1</v>
      </c>
      <c r="F7" s="50" t="s">
        <v>284</v>
      </c>
      <c r="G7" s="51">
        <v>0</v>
      </c>
      <c r="H7" s="51">
        <v>8479.33</v>
      </c>
      <c r="I7" s="51">
        <v>9360</v>
      </c>
      <c r="J7" s="52">
        <v>17839.330000000002</v>
      </c>
    </row>
    <row r="8" spans="1:27" x14ac:dyDescent="0.25">
      <c r="A8" s="11" t="s">
        <v>285</v>
      </c>
      <c r="B8" s="5" t="s">
        <v>2</v>
      </c>
      <c r="C8" s="6" t="s">
        <v>27</v>
      </c>
      <c r="D8" s="6" t="s">
        <v>28</v>
      </c>
      <c r="E8" s="49">
        <v>1</v>
      </c>
      <c r="F8" s="50" t="s">
        <v>308</v>
      </c>
      <c r="G8" s="51">
        <v>0</v>
      </c>
      <c r="H8" s="51">
        <v>1079.06</v>
      </c>
      <c r="I8" s="51">
        <v>4316.21</v>
      </c>
      <c r="J8" s="52">
        <v>5395.27</v>
      </c>
    </row>
    <row r="9" spans="1:27" x14ac:dyDescent="0.25">
      <c r="A9" s="11" t="s">
        <v>38</v>
      </c>
      <c r="B9" s="6" t="s">
        <v>2</v>
      </c>
      <c r="C9" s="6" t="s">
        <v>39</v>
      </c>
      <c r="D9" s="6" t="s">
        <v>28</v>
      </c>
      <c r="E9" s="49">
        <v>1</v>
      </c>
      <c r="F9" s="50" t="s">
        <v>309</v>
      </c>
      <c r="G9" s="51">
        <v>0</v>
      </c>
      <c r="H9" s="51">
        <v>1079.06</v>
      </c>
      <c r="I9" s="51">
        <v>4316.21</v>
      </c>
      <c r="J9" s="52">
        <v>5395.27</v>
      </c>
    </row>
    <row r="10" spans="1:27" x14ac:dyDescent="0.25">
      <c r="A10" s="11" t="s">
        <v>288</v>
      </c>
      <c r="B10" s="5" t="s">
        <v>8</v>
      </c>
      <c r="C10" s="6" t="s">
        <v>37</v>
      </c>
      <c r="D10" s="6" t="s">
        <v>28</v>
      </c>
      <c r="E10" s="49">
        <v>1</v>
      </c>
      <c r="F10" s="50" t="s">
        <v>310</v>
      </c>
      <c r="G10" s="51">
        <v>0</v>
      </c>
      <c r="H10" s="51">
        <v>700.75</v>
      </c>
      <c r="I10" s="51">
        <v>3083.01</v>
      </c>
      <c r="J10" s="52">
        <v>3783.76</v>
      </c>
    </row>
    <row r="11" spans="1:27" x14ac:dyDescent="0.25">
      <c r="A11" s="11" t="s">
        <v>290</v>
      </c>
      <c r="B11" s="5" t="s">
        <v>8</v>
      </c>
      <c r="C11" s="6" t="s">
        <v>35</v>
      </c>
      <c r="D11" s="6" t="s">
        <v>28</v>
      </c>
      <c r="E11" s="49">
        <v>1</v>
      </c>
      <c r="F11" s="50" t="s">
        <v>311</v>
      </c>
      <c r="G11" s="51">
        <v>0</v>
      </c>
      <c r="H11" s="51">
        <v>700.75</v>
      </c>
      <c r="I11" s="51">
        <v>3083.01</v>
      </c>
      <c r="J11" s="52">
        <v>3783.76</v>
      </c>
    </row>
    <row r="12" spans="1:27" x14ac:dyDescent="0.25">
      <c r="A12" s="11" t="s">
        <v>268</v>
      </c>
      <c r="B12" s="5" t="s">
        <v>9</v>
      </c>
      <c r="C12" s="6" t="s">
        <v>30</v>
      </c>
      <c r="D12" s="6" t="s">
        <v>28</v>
      </c>
      <c r="E12" s="49">
        <v>1</v>
      </c>
      <c r="F12" s="50" t="s">
        <v>312</v>
      </c>
      <c r="G12" s="51">
        <v>0</v>
      </c>
      <c r="H12" s="51">
        <v>500.99</v>
      </c>
      <c r="I12" s="51">
        <v>2003.96</v>
      </c>
      <c r="J12" s="52">
        <v>2504.9499999999998</v>
      </c>
    </row>
    <row r="13" spans="1:27" x14ac:dyDescent="0.25">
      <c r="A13" s="11" t="s">
        <v>31</v>
      </c>
      <c r="B13" s="5" t="s">
        <v>32</v>
      </c>
      <c r="C13" s="6" t="s">
        <v>33</v>
      </c>
      <c r="D13" s="6" t="s">
        <v>28</v>
      </c>
      <c r="E13" s="49">
        <v>1</v>
      </c>
      <c r="F13" s="50" t="s">
        <v>313</v>
      </c>
      <c r="G13" s="51">
        <v>0</v>
      </c>
      <c r="H13" s="51">
        <v>308.3</v>
      </c>
      <c r="I13" s="51">
        <v>1233.21</v>
      </c>
      <c r="J13" s="52">
        <v>1541.51</v>
      </c>
    </row>
    <row r="14" spans="1:27" ht="45" x14ac:dyDescent="0.25">
      <c r="A14" s="12" t="s">
        <v>40</v>
      </c>
      <c r="B14" s="12" t="s">
        <v>41</v>
      </c>
      <c r="C14" s="13" t="s">
        <v>42</v>
      </c>
      <c r="D14" s="13" t="s">
        <v>43</v>
      </c>
      <c r="E14" s="13" t="s">
        <v>44</v>
      </c>
      <c r="F14" s="53"/>
      <c r="G14" s="13" t="s">
        <v>45</v>
      </c>
      <c r="H14" s="13" t="s">
        <v>46</v>
      </c>
      <c r="I14" s="13" t="s">
        <v>47</v>
      </c>
    </row>
    <row r="15" spans="1:27" x14ac:dyDescent="0.25">
      <c r="A15" s="15" t="s">
        <v>48</v>
      </c>
      <c r="B15" s="7" t="s">
        <v>49</v>
      </c>
      <c r="C15" s="16">
        <f ca="1">SUMIFS($E$13:$E$16,$B$13:$B$16,"DAS",$D$13:$D$16,"&lt;&gt;VAGO")</f>
        <v>0</v>
      </c>
      <c r="D15" s="16">
        <f ca="1">SUMIFS($E$13:$E$16,$B$13:$B$16,"DAS",$D$13:$D$16,"VAGO")</f>
        <v>0</v>
      </c>
      <c r="E15" s="16">
        <f t="shared" ref="E15:E25" ca="1" si="0">C15+D15</f>
        <v>0</v>
      </c>
      <c r="F15" s="17"/>
      <c r="G15" s="18">
        <f ca="1">SUMIF($B$13:$B$16,"DAS",$G$13:$G$16)</f>
        <v>0</v>
      </c>
      <c r="H15" s="18">
        <f ca="1">SUMIF($B$13:$B$16,"DAS",$H$13:$H$16)</f>
        <v>0</v>
      </c>
      <c r="I15" s="18">
        <f ca="1">SUMIF($B$13:$B$16,"DAS",$I$13:$I$16)</f>
        <v>0</v>
      </c>
    </row>
    <row r="16" spans="1:27" x14ac:dyDescent="0.25">
      <c r="A16" s="15" t="s">
        <v>50</v>
      </c>
      <c r="B16" s="7" t="s">
        <v>0</v>
      </c>
      <c r="C16" s="16">
        <v>1</v>
      </c>
      <c r="D16" s="16">
        <f ca="1">SUMIFS($E$13:$E$16,$B$13:$B$16,"DAS-1",$D$13:$D$16,"VAGO")</f>
        <v>0</v>
      </c>
      <c r="E16" s="16">
        <f t="shared" ca="1" si="0"/>
        <v>1</v>
      </c>
      <c r="F16" s="20"/>
      <c r="G16" s="18">
        <f ca="1">SUMIF($B$13:$B$16,"DAS-1",$G$13:$G$16)</f>
        <v>0</v>
      </c>
      <c r="H16" s="55">
        <v>8479.33</v>
      </c>
      <c r="I16" s="55">
        <v>9360</v>
      </c>
    </row>
    <row r="17" spans="1:9" x14ac:dyDescent="0.25">
      <c r="A17" s="15" t="s">
        <v>51</v>
      </c>
      <c r="B17" s="7" t="s">
        <v>52</v>
      </c>
      <c r="C17" s="16">
        <f>SUMIFS($E$13:$E$16,$B$13:$B$16,"DAS-2",$D$13:$D$16,"&lt;&gt;VAGO")</f>
        <v>0</v>
      </c>
      <c r="D17" s="16">
        <v>0</v>
      </c>
      <c r="E17" s="16">
        <f t="shared" si="0"/>
        <v>0</v>
      </c>
      <c r="F17" s="20"/>
      <c r="G17" s="18">
        <f>SUMIF($B$13:$B$16,"DAS-2",$G$13:$G$16)</f>
        <v>0</v>
      </c>
      <c r="H17" s="18">
        <f>SUMIF($B$13:$B$16,"DAS-2",$H$13:$H$16)</f>
        <v>0</v>
      </c>
      <c r="I17" s="18">
        <f>SUMIF($B$13:$B$16,"DAS-2",$I$13:$I$16)</f>
        <v>0</v>
      </c>
    </row>
    <row r="18" spans="1:9" x14ac:dyDescent="0.25">
      <c r="A18" s="15" t="s">
        <v>53</v>
      </c>
      <c r="B18" s="7" t="s">
        <v>54</v>
      </c>
      <c r="C18" s="16">
        <f>SUMIFS($E$13:$E$16,$B$13:$B$16,"DAS-3",$D$13:$D$16,"&lt;&gt;VAGO")</f>
        <v>0</v>
      </c>
      <c r="D18" s="16">
        <f>SUMIFS($E$13:$E$16,$B$13:$B$16,"DAS-3",$D$13:$D$16,"VAGO")</f>
        <v>0</v>
      </c>
      <c r="E18" s="16">
        <f t="shared" si="0"/>
        <v>0</v>
      </c>
      <c r="F18" s="20"/>
      <c r="G18" s="18">
        <f>SUMIF($B$13:$B$16,"DAS-3",$G$13:$G$16)</f>
        <v>0</v>
      </c>
      <c r="H18" s="18">
        <f>SUMIF($B$13:$B$16,"DAS-3",$H$13:$H$16)</f>
        <v>0</v>
      </c>
      <c r="I18" s="18">
        <f>SUMIF($B$13:$B$16,"DAS-3",$I$13:$I$16)</f>
        <v>0</v>
      </c>
    </row>
    <row r="19" spans="1:9" x14ac:dyDescent="0.25">
      <c r="A19" s="21" t="s">
        <v>55</v>
      </c>
      <c r="B19" s="7" t="s">
        <v>56</v>
      </c>
      <c r="C19" s="16">
        <f>SUMIFS($E$13:$E$16,$B$13:$B$16,"DAS-4",$D$13:$D$16,"&lt;&gt;VAGO")</f>
        <v>0</v>
      </c>
      <c r="D19" s="16">
        <f>SUMIFS($E$13:$E$16,$B$13:$B$16,"DAS-4",$D$13:$D$16,"VAGO")</f>
        <v>0</v>
      </c>
      <c r="E19" s="16">
        <f t="shared" si="0"/>
        <v>0</v>
      </c>
      <c r="F19" s="22"/>
      <c r="G19" s="18">
        <f>SUMIF($B$13:$B$16,"DAS-4",$G$13:$G$16)</f>
        <v>0</v>
      </c>
      <c r="H19" s="18">
        <f>SUMIF($B$13:$B$16,"DAS-4",$H$13:$H$16)</f>
        <v>0</v>
      </c>
      <c r="I19" s="18">
        <f>SUMIF($B$13:$B$16,"DAS-4",$I$13:$I$16)</f>
        <v>0</v>
      </c>
    </row>
    <row r="20" spans="1:9" x14ac:dyDescent="0.25">
      <c r="A20" s="21" t="s">
        <v>57</v>
      </c>
      <c r="B20" s="7" t="s">
        <v>2</v>
      </c>
      <c r="C20" s="16">
        <v>2</v>
      </c>
      <c r="D20" s="16">
        <v>0</v>
      </c>
      <c r="E20" s="16">
        <v>2</v>
      </c>
      <c r="F20" s="22"/>
      <c r="G20" s="18">
        <f>SUMIF($B$13:$B$16,"DAS-5",$G$13:$G$16)</f>
        <v>0</v>
      </c>
      <c r="H20" s="55">
        <v>2079.12</v>
      </c>
      <c r="I20" s="55">
        <v>8632.42</v>
      </c>
    </row>
    <row r="21" spans="1:9" x14ac:dyDescent="0.25">
      <c r="A21" s="21" t="s">
        <v>58</v>
      </c>
      <c r="B21" s="7" t="s">
        <v>59</v>
      </c>
      <c r="C21" s="16">
        <f>SUMIFS($E$13:$E$16,$B$13:$B$16,"CAA-1",$D$13:$D$16,"&lt;&gt;VAGO")</f>
        <v>0</v>
      </c>
      <c r="D21" s="16">
        <f>SUMIFS($E$13:$E$16,$B$13:$B$16,"CAA-1",$D$13:$D$16,"VAGO")</f>
        <v>0</v>
      </c>
      <c r="E21" s="16">
        <f t="shared" si="0"/>
        <v>0</v>
      </c>
      <c r="F21" s="22"/>
      <c r="G21" s="18">
        <f>SUMIF($B$13:$B$16,"CAA-1",$G$13:$G$16)</f>
        <v>0</v>
      </c>
      <c r="H21" s="18">
        <f>SUMIF($B$13:$B$16,"CAA-1",$H$13:$H$16)</f>
        <v>0</v>
      </c>
      <c r="I21" s="18">
        <f>SUMIF($B$13:$B$16,"CAA-1",$I$13:$I$16)</f>
        <v>0</v>
      </c>
    </row>
    <row r="22" spans="1:9" x14ac:dyDescent="0.25">
      <c r="A22" s="21" t="s">
        <v>60</v>
      </c>
      <c r="B22" s="7" t="s">
        <v>8</v>
      </c>
      <c r="C22" s="16">
        <v>2</v>
      </c>
      <c r="D22" s="16">
        <v>0</v>
      </c>
      <c r="E22" s="16">
        <v>2</v>
      </c>
      <c r="F22" s="22"/>
      <c r="G22" s="18">
        <f>SUMIF($B$13:$B$16,"CAA-2",$G$13:$G$16)</f>
        <v>0</v>
      </c>
      <c r="H22" s="55">
        <v>1401.5</v>
      </c>
      <c r="I22" s="55">
        <v>6166.02</v>
      </c>
    </row>
    <row r="23" spans="1:9" x14ac:dyDescent="0.25">
      <c r="A23" s="21" t="s">
        <v>61</v>
      </c>
      <c r="B23" s="7" t="s">
        <v>9</v>
      </c>
      <c r="C23" s="16">
        <v>1</v>
      </c>
      <c r="D23" s="16">
        <v>0</v>
      </c>
      <c r="E23" s="16">
        <f t="shared" si="0"/>
        <v>1</v>
      </c>
      <c r="F23" s="20" t="s">
        <v>269</v>
      </c>
      <c r="G23" s="18">
        <f>SUMIF($B$13:$B$16,"CAA-3",$G$13:$G$16)</f>
        <v>0</v>
      </c>
      <c r="H23" s="55">
        <v>500.99</v>
      </c>
      <c r="I23" s="55">
        <v>2003.96</v>
      </c>
    </row>
    <row r="24" spans="1:9" x14ac:dyDescent="0.25">
      <c r="A24" s="21" t="s">
        <v>62</v>
      </c>
      <c r="B24" s="7" t="s">
        <v>32</v>
      </c>
      <c r="C24" s="16">
        <v>1</v>
      </c>
      <c r="D24" s="16">
        <v>0</v>
      </c>
      <c r="E24" s="16">
        <f t="shared" si="0"/>
        <v>1</v>
      </c>
      <c r="F24" s="20"/>
      <c r="G24" s="18">
        <f>SUMIF($B$13:$B$16,"CAA-4",$G$13:$G$16)</f>
        <v>0</v>
      </c>
      <c r="H24" s="18">
        <f>SUMIF($B$13:$B$16,"CAA-4",$H$13:$H$16)</f>
        <v>308.3</v>
      </c>
      <c r="I24" s="18">
        <f>SUMIF($B$13:$B$16,"CAA-4",$I$13:$I$16)</f>
        <v>1233.21</v>
      </c>
    </row>
    <row r="25" spans="1:9" x14ac:dyDescent="0.25">
      <c r="A25" s="21" t="s">
        <v>63</v>
      </c>
      <c r="B25" s="7" t="s">
        <v>64</v>
      </c>
      <c r="C25" s="16">
        <f>SUMIFS($E$13:$E$16,$B$13:$B$16,"CAA-5",$D$13:$D$16,"&lt;&gt;VAGO")</f>
        <v>0</v>
      </c>
      <c r="D25" s="16">
        <f>SUMIFS($E$13:$E$16,$B$13:$B$16,"CAA-5",$D$13:$D$16,"VAGO")</f>
        <v>0</v>
      </c>
      <c r="E25" s="16">
        <f t="shared" si="0"/>
        <v>0</v>
      </c>
      <c r="F25" s="20"/>
      <c r="G25" s="18">
        <f>SUMIF($B$13:$B$16,"CAA-5",$G$13:$G$16)</f>
        <v>0</v>
      </c>
      <c r="H25" s="18">
        <f>SUMIF($B$13:$B$16,"CAA-5",$H$13:$H$16)</f>
        <v>0</v>
      </c>
      <c r="I25" s="18">
        <f>SUMIF($B$13:$B$16,"CAA-5",$I$13:$I$16)</f>
        <v>0</v>
      </c>
    </row>
    <row r="26" spans="1:9" x14ac:dyDescent="0.25">
      <c r="A26" s="12" t="s">
        <v>65</v>
      </c>
      <c r="B26" s="14"/>
      <c r="C26" s="13">
        <v>7</v>
      </c>
      <c r="D26" s="13">
        <v>0</v>
      </c>
      <c r="E26" s="13">
        <f ca="1">SUM(E15:E25)</f>
        <v>7</v>
      </c>
      <c r="F26" s="14"/>
      <c r="G26" s="23">
        <f ca="1">SUM(G15:G25)</f>
        <v>0</v>
      </c>
      <c r="H26" s="23">
        <v>12779.24</v>
      </c>
      <c r="I26" s="23">
        <v>27895.61</v>
      </c>
    </row>
    <row r="27" spans="1:9" x14ac:dyDescent="0.25">
      <c r="A27" s="19"/>
      <c r="B27" s="19"/>
      <c r="C27" s="19"/>
      <c r="D27" s="19"/>
      <c r="E27" s="19"/>
      <c r="F27" s="19"/>
      <c r="G27" s="19"/>
      <c r="H27" s="10"/>
      <c r="I27" s="10"/>
    </row>
    <row r="28" spans="1:9" x14ac:dyDescent="0.25">
      <c r="A28" s="127" t="s">
        <v>66</v>
      </c>
      <c r="B28" s="128"/>
      <c r="C28" s="128"/>
      <c r="D28" s="128"/>
      <c r="E28" s="128"/>
      <c r="F28" s="128"/>
      <c r="G28" s="128"/>
      <c r="H28" s="128"/>
      <c r="I28" s="129"/>
    </row>
    <row r="29" spans="1:9" ht="45" x14ac:dyDescent="0.25">
      <c r="A29" s="4" t="s">
        <v>67</v>
      </c>
      <c r="B29" s="4" t="s">
        <v>68</v>
      </c>
      <c r="C29" s="4" t="s">
        <v>69</v>
      </c>
      <c r="D29" s="4" t="s">
        <v>70</v>
      </c>
      <c r="E29" s="4" t="s">
        <v>71</v>
      </c>
      <c r="F29" s="4" t="s">
        <v>72</v>
      </c>
      <c r="G29" s="4" t="s">
        <v>73</v>
      </c>
      <c r="H29" s="4" t="s">
        <v>74</v>
      </c>
      <c r="I29" s="4" t="s">
        <v>75</v>
      </c>
    </row>
    <row r="30" spans="1:9" x14ac:dyDescent="0.25">
      <c r="A30" s="33" t="s">
        <v>81</v>
      </c>
      <c r="B30" s="26" t="s">
        <v>3</v>
      </c>
      <c r="C30" s="6" t="s">
        <v>35</v>
      </c>
      <c r="D30" s="6" t="s">
        <v>117</v>
      </c>
      <c r="E30" s="7">
        <v>1</v>
      </c>
      <c r="F30" t="s">
        <v>314</v>
      </c>
      <c r="G30" s="18">
        <f ca="1">SUMIF($B$13:$B$16,"DAS",$G$13:$G$16)</f>
        <v>0</v>
      </c>
      <c r="H30" s="18">
        <v>4316.21</v>
      </c>
      <c r="I30" s="18">
        <v>4316.21</v>
      </c>
    </row>
    <row r="31" spans="1:9" x14ac:dyDescent="0.25">
      <c r="A31" s="33" t="s">
        <v>77</v>
      </c>
      <c r="B31" s="26" t="s">
        <v>3</v>
      </c>
      <c r="C31" s="6" t="s">
        <v>78</v>
      </c>
      <c r="D31" s="6" t="s">
        <v>24</v>
      </c>
      <c r="E31" s="7">
        <v>1</v>
      </c>
      <c r="F31" s="37" t="s">
        <v>295</v>
      </c>
      <c r="G31" s="8">
        <v>5404.89</v>
      </c>
      <c r="H31" s="18">
        <v>1726.48</v>
      </c>
      <c r="I31" s="18">
        <v>7131.37</v>
      </c>
    </row>
    <row r="32" spans="1:9" x14ac:dyDescent="0.25">
      <c r="A32" s="33" t="s">
        <v>79</v>
      </c>
      <c r="B32" s="26" t="s">
        <v>3</v>
      </c>
      <c r="C32" s="6" t="s">
        <v>80</v>
      </c>
      <c r="D32" s="6" t="s">
        <v>24</v>
      </c>
      <c r="E32" s="7">
        <v>1</v>
      </c>
      <c r="F32" s="33" t="s">
        <v>296</v>
      </c>
      <c r="G32" s="18">
        <v>7691</v>
      </c>
      <c r="H32" s="18">
        <v>3884.59</v>
      </c>
      <c r="I32" s="18">
        <v>11575.59</v>
      </c>
    </row>
    <row r="33" spans="1:10" ht="16.5" customHeight="1" x14ac:dyDescent="0.25">
      <c r="A33" s="33" t="s">
        <v>76</v>
      </c>
      <c r="B33" s="26" t="s">
        <v>1</v>
      </c>
      <c r="C33" s="6" t="s">
        <v>35</v>
      </c>
      <c r="D33" s="6" t="s">
        <v>24</v>
      </c>
      <c r="E33" s="7">
        <v>1</v>
      </c>
      <c r="F33" s="37" t="s">
        <v>297</v>
      </c>
      <c r="G33" s="18">
        <v>7691</v>
      </c>
      <c r="H33" s="18">
        <v>3083.01</v>
      </c>
      <c r="I33" s="18">
        <v>10777.01</v>
      </c>
    </row>
    <row r="34" spans="1:10" ht="45" x14ac:dyDescent="0.25">
      <c r="A34" s="12" t="s">
        <v>82</v>
      </c>
      <c r="B34" s="12" t="s">
        <v>83</v>
      </c>
      <c r="C34" s="13" t="s">
        <v>84</v>
      </c>
      <c r="D34" s="13" t="s">
        <v>85</v>
      </c>
      <c r="E34" s="13" t="s">
        <v>86</v>
      </c>
      <c r="F34" s="27"/>
      <c r="G34" s="13" t="s">
        <v>87</v>
      </c>
      <c r="H34" s="13" t="s">
        <v>88</v>
      </c>
      <c r="I34" s="13" t="s">
        <v>89</v>
      </c>
    </row>
    <row r="35" spans="1:10" x14ac:dyDescent="0.25">
      <c r="A35" s="15" t="s">
        <v>90</v>
      </c>
      <c r="B35" s="28" t="s">
        <v>91</v>
      </c>
      <c r="C35" s="16">
        <f ca="1">SUMIFS($E$30:$E$36,$B$30:$B$36,"FDA",$D$30:$D$36,"&lt;&gt;VAGO")</f>
        <v>0</v>
      </c>
      <c r="D35" s="16">
        <f ca="1">SUMIFS($E$30:$E$36,$B$30:$B$36,"FDA",$D$30:$D$36,"VAGO")</f>
        <v>0</v>
      </c>
      <c r="E35" s="16">
        <f t="shared" ref="E35:E39" ca="1" si="1">C35+D35</f>
        <v>0</v>
      </c>
      <c r="F35" s="17"/>
      <c r="G35" s="9">
        <f ca="1">SUMIF($B$30:$B$36,"FDA",$G$30:$G$36)</f>
        <v>0</v>
      </c>
      <c r="H35" s="9">
        <f ca="1">SUMIF($B$30:$B$36,"FDA",$H$30:$H$36)</f>
        <v>0</v>
      </c>
      <c r="I35" s="9">
        <f ca="1">SUMIF($B$30:$B$36,"FDA",$I$30:$I$36)</f>
        <v>0</v>
      </c>
    </row>
    <row r="36" spans="1:10" x14ac:dyDescent="0.25">
      <c r="A36" s="15" t="s">
        <v>92</v>
      </c>
      <c r="B36" s="28" t="s">
        <v>93</v>
      </c>
      <c r="C36" s="16">
        <f ca="1">SUMIFS($E$30:$E$36,$B$30:$B$36,"FDA-1",$D$30:$D$36,"&lt;&gt;VAGO")</f>
        <v>0</v>
      </c>
      <c r="D36" s="16">
        <f ca="1">SUMIFS($E$30:$E$36,$B$30:$B$36,"FDA-1",$D$30:$D$36,"VAGO")</f>
        <v>0</v>
      </c>
      <c r="E36" s="16">
        <f t="shared" ca="1" si="1"/>
        <v>0</v>
      </c>
      <c r="F36" s="17"/>
      <c r="G36" s="9">
        <f ca="1">SUMIF($B$30:$B$36,"FDA-1",$G$30:$G$36)</f>
        <v>0</v>
      </c>
      <c r="H36" s="9">
        <f ca="1">SUMIF($B$30:$B$36,"FDA-1",$H$30:$H$36)</f>
        <v>0</v>
      </c>
      <c r="I36" s="9">
        <f ca="1">SUMIF($B$30:$B$36,"FDA-1",$I$30:$I$36)</f>
        <v>0</v>
      </c>
    </row>
    <row r="37" spans="1:10" x14ac:dyDescent="0.25">
      <c r="A37" s="15" t="s">
        <v>94</v>
      </c>
      <c r="B37" s="28" t="s">
        <v>95</v>
      </c>
      <c r="C37" s="16">
        <f>SUMIFS($E$30:$E$36,$B$30:$B$36,"FDA-2",$D$30:$D$36,"&lt;&gt;VAGO")</f>
        <v>0</v>
      </c>
      <c r="D37" s="16">
        <f>SUMIFS($E$30:$E$36,$B$30:$B$36,"FDA-2",$D$30:$D$36,"VAGO")</f>
        <v>0</v>
      </c>
      <c r="E37" s="16">
        <f t="shared" si="1"/>
        <v>0</v>
      </c>
      <c r="F37" s="20"/>
      <c r="G37" s="9">
        <f>SUMIF($B$30:$B$36,"FDA-2",$G$30:$G$36)</f>
        <v>0</v>
      </c>
      <c r="H37" s="9">
        <f>SUMIF($B$30:$B$36,"FDA-2",$H$30:$H$36)</f>
        <v>0</v>
      </c>
      <c r="I37" s="9">
        <f>SUMIF($B$30:$B$36,"FDA-2",$I$30:$I$36)</f>
        <v>0</v>
      </c>
    </row>
    <row r="38" spans="1:10" x14ac:dyDescent="0.25">
      <c r="A38" s="15" t="s">
        <v>96</v>
      </c>
      <c r="B38" s="28" t="s">
        <v>3</v>
      </c>
      <c r="C38" s="16">
        <f>SUMIFS($E$30:$E$36,$B$30:$B$36,"FDA-3",$D$30:$D$36,"&lt;&gt;VAGO")</f>
        <v>3</v>
      </c>
      <c r="D38" s="16">
        <f>SUMIFS($E$30:$E$36,$B$30:$B$36,"FDA-3",$D$30:$D$36,"VAGO")</f>
        <v>0</v>
      </c>
      <c r="E38" s="16">
        <f t="shared" si="1"/>
        <v>3</v>
      </c>
      <c r="F38" s="22" t="s">
        <v>317</v>
      </c>
      <c r="G38" s="9">
        <v>15382</v>
      </c>
      <c r="H38" s="9">
        <v>9927.2800000000007</v>
      </c>
      <c r="I38" s="9">
        <v>25309.279999999999</v>
      </c>
    </row>
    <row r="39" spans="1:10" x14ac:dyDescent="0.25">
      <c r="A39" s="15" t="s">
        <v>97</v>
      </c>
      <c r="B39" s="28" t="s">
        <v>1</v>
      </c>
      <c r="C39" s="16">
        <f>SUMIFS($E$30:$E$36,$B$30:$B$36,"FDA-4",$D$30:$D$36,"&lt;&gt;VAGO")</f>
        <v>1</v>
      </c>
      <c r="D39" s="16">
        <f>SUMIFS($E$30:$E$36,$B$30:$B$36,"FDA-4",$D$30:$D$36,"VAGO")</f>
        <v>0</v>
      </c>
      <c r="E39" s="16">
        <f t="shared" si="1"/>
        <v>1</v>
      </c>
      <c r="F39" s="20" t="s">
        <v>299</v>
      </c>
      <c r="G39" s="9">
        <f>SUMIF($B$30:$B$36,"FDA-4",$G$30:$G$36)</f>
        <v>7691</v>
      </c>
      <c r="H39" s="9">
        <f>SUMIF($B$30:$B$36,"FDA-4",$H$30:$H$36)</f>
        <v>3083.01</v>
      </c>
      <c r="I39" s="9">
        <f>SUMIF($B$30:$B$36,"FDA-4",$I$30:$I$36)</f>
        <v>10777.01</v>
      </c>
    </row>
    <row r="40" spans="1:10" ht="30" x14ac:dyDescent="0.25">
      <c r="A40" s="12" t="s">
        <v>98</v>
      </c>
      <c r="B40" s="27"/>
      <c r="C40" s="13">
        <f t="shared" ref="C40:E40" ca="1" si="2">SUM(C36:C39)</f>
        <v>4</v>
      </c>
      <c r="D40" s="13">
        <f t="shared" ca="1" si="2"/>
        <v>0</v>
      </c>
      <c r="E40" s="13">
        <f t="shared" ca="1" si="2"/>
        <v>4</v>
      </c>
      <c r="F40" s="27"/>
      <c r="G40" s="29">
        <v>23073</v>
      </c>
      <c r="H40" s="29">
        <v>13010.29</v>
      </c>
      <c r="I40" s="29">
        <v>36086.29</v>
      </c>
    </row>
    <row r="41" spans="1:10" x14ac:dyDescent="0.25">
      <c r="A41" s="24"/>
      <c r="B41" s="24"/>
      <c r="C41" s="24"/>
      <c r="D41" s="24"/>
      <c r="E41" s="24"/>
      <c r="F41" s="24"/>
      <c r="G41" s="24"/>
      <c r="H41" s="24"/>
      <c r="I41" s="2"/>
    </row>
    <row r="42" spans="1:10" x14ac:dyDescent="0.25">
      <c r="A42" s="127" t="s">
        <v>99</v>
      </c>
      <c r="B42" s="128"/>
      <c r="C42" s="128"/>
      <c r="D42" s="128"/>
      <c r="E42" s="128"/>
      <c r="F42" s="128"/>
      <c r="G42" s="128"/>
      <c r="H42" s="128"/>
      <c r="I42" s="129"/>
    </row>
    <row r="43" spans="1:10" ht="45" x14ac:dyDescent="0.25">
      <c r="A43" s="30" t="s">
        <v>100</v>
      </c>
      <c r="B43" s="4" t="s">
        <v>101</v>
      </c>
      <c r="C43" s="4" t="s">
        <v>102</v>
      </c>
      <c r="D43" s="4" t="s">
        <v>103</v>
      </c>
      <c r="E43" s="4" t="s">
        <v>104</v>
      </c>
      <c r="F43" s="4" t="s">
        <v>105</v>
      </c>
      <c r="G43" s="4" t="s">
        <v>106</v>
      </c>
      <c r="H43" s="4" t="s">
        <v>107</v>
      </c>
      <c r="I43" s="4" t="s">
        <v>108</v>
      </c>
    </row>
    <row r="44" spans="1:10" x14ac:dyDescent="0.25">
      <c r="A44" s="42" t="s">
        <v>270</v>
      </c>
      <c r="B44" s="43" t="s">
        <v>4</v>
      </c>
      <c r="C44" s="44"/>
      <c r="D44" s="44" t="s">
        <v>24</v>
      </c>
      <c r="E44" s="45">
        <v>1</v>
      </c>
      <c r="F44" s="46" t="s">
        <v>271</v>
      </c>
      <c r="G44" s="8">
        <v>5933.35</v>
      </c>
      <c r="H44" s="8">
        <v>1392.8</v>
      </c>
      <c r="I44" s="9">
        <f>SUM(G44:H44)</f>
        <v>7326.1500000000005</v>
      </c>
      <c r="J44" s="47"/>
    </row>
    <row r="45" spans="1:10" x14ac:dyDescent="0.25">
      <c r="A45" s="42" t="s">
        <v>272</v>
      </c>
      <c r="B45" s="43" t="s">
        <v>4</v>
      </c>
      <c r="C45" s="44"/>
      <c r="D45" s="44" t="s">
        <v>24</v>
      </c>
      <c r="E45" s="45">
        <v>1</v>
      </c>
      <c r="F45" s="33" t="s">
        <v>222</v>
      </c>
      <c r="G45" s="8">
        <v>5675.13</v>
      </c>
      <c r="H45" s="8">
        <v>1392.8</v>
      </c>
      <c r="I45" s="9">
        <v>7067.93</v>
      </c>
      <c r="J45" s="47"/>
    </row>
    <row r="46" spans="1:10" x14ac:dyDescent="0.25">
      <c r="A46" s="31" t="s">
        <v>236</v>
      </c>
      <c r="B46" s="32" t="s">
        <v>4</v>
      </c>
      <c r="C46" s="32"/>
      <c r="D46" s="6" t="s">
        <v>24</v>
      </c>
      <c r="E46" s="7">
        <v>1</v>
      </c>
      <c r="F46" s="31" t="s">
        <v>218</v>
      </c>
      <c r="G46" s="8">
        <v>8075.56</v>
      </c>
      <c r="H46" s="8">
        <v>1392.8</v>
      </c>
      <c r="I46" s="9">
        <f>SUM(G46:H46)</f>
        <v>9468.36</v>
      </c>
    </row>
    <row r="47" spans="1:10" x14ac:dyDescent="0.25">
      <c r="A47" s="33" t="s">
        <v>237</v>
      </c>
      <c r="B47" s="32" t="s">
        <v>4</v>
      </c>
      <c r="C47" s="6"/>
      <c r="D47" s="6" t="s">
        <v>24</v>
      </c>
      <c r="E47" s="7">
        <v>1</v>
      </c>
      <c r="F47" s="33" t="s">
        <v>276</v>
      </c>
      <c r="G47" s="8">
        <v>5250.46</v>
      </c>
      <c r="H47" s="8">
        <v>1392.8</v>
      </c>
      <c r="I47" s="9">
        <f t="shared" ref="I47:I80" si="3">SUM(G47:H47)</f>
        <v>6643.26</v>
      </c>
    </row>
    <row r="48" spans="1:10" x14ac:dyDescent="0.25">
      <c r="A48" s="33" t="s">
        <v>238</v>
      </c>
      <c r="B48" s="32" t="s">
        <v>4</v>
      </c>
      <c r="C48" s="6"/>
      <c r="D48" s="6" t="s">
        <v>24</v>
      </c>
      <c r="E48" s="7">
        <v>1</v>
      </c>
      <c r="F48" s="33" t="s">
        <v>214</v>
      </c>
      <c r="G48" s="8">
        <v>8075.56</v>
      </c>
      <c r="H48" s="8">
        <v>1392.8</v>
      </c>
      <c r="I48" s="9">
        <f t="shared" si="3"/>
        <v>9468.36</v>
      </c>
    </row>
    <row r="49" spans="1:9" x14ac:dyDescent="0.25">
      <c r="A49" s="33" t="s">
        <v>239</v>
      </c>
      <c r="B49" s="32" t="s">
        <v>4</v>
      </c>
      <c r="C49" s="6"/>
      <c r="D49" s="6" t="s">
        <v>24</v>
      </c>
      <c r="E49" s="7">
        <v>1</v>
      </c>
      <c r="F49" s="33" t="s">
        <v>240</v>
      </c>
      <c r="G49" s="8">
        <v>7691</v>
      </c>
      <c r="H49" s="8">
        <v>1392.8</v>
      </c>
      <c r="I49" s="9">
        <f t="shared" si="3"/>
        <v>9083.7999999999993</v>
      </c>
    </row>
    <row r="50" spans="1:9" x14ac:dyDescent="0.25">
      <c r="A50" s="33" t="s">
        <v>241</v>
      </c>
      <c r="B50" s="32" t="s">
        <v>4</v>
      </c>
      <c r="C50" s="6"/>
      <c r="D50" s="6" t="s">
        <v>24</v>
      </c>
      <c r="E50" s="7">
        <v>1</v>
      </c>
      <c r="F50" s="33" t="s">
        <v>109</v>
      </c>
      <c r="G50" s="8">
        <v>8299.11</v>
      </c>
      <c r="H50" s="8">
        <v>1392.8</v>
      </c>
      <c r="I50" s="9">
        <f t="shared" si="3"/>
        <v>9691.91</v>
      </c>
    </row>
    <row r="51" spans="1:9" x14ac:dyDescent="0.25">
      <c r="A51" s="33" t="s">
        <v>242</v>
      </c>
      <c r="B51" s="32" t="s">
        <v>4</v>
      </c>
      <c r="C51" s="6"/>
      <c r="D51" s="6" t="s">
        <v>24</v>
      </c>
      <c r="E51" s="7">
        <v>1</v>
      </c>
      <c r="F51" s="33" t="s">
        <v>277</v>
      </c>
      <c r="G51" s="8">
        <v>4902.3900000000003</v>
      </c>
      <c r="H51" s="8">
        <v>1392.8</v>
      </c>
      <c r="I51" s="9">
        <f t="shared" si="3"/>
        <v>6295.1900000000005</v>
      </c>
    </row>
    <row r="52" spans="1:9" x14ac:dyDescent="0.25">
      <c r="A52" s="33" t="s">
        <v>243</v>
      </c>
      <c r="B52" s="32" t="s">
        <v>4</v>
      </c>
      <c r="C52" s="6"/>
      <c r="D52" s="6" t="s">
        <v>24</v>
      </c>
      <c r="E52" s="7">
        <v>1</v>
      </c>
      <c r="F52" s="33" t="s">
        <v>111</v>
      </c>
      <c r="G52" s="8">
        <v>7691</v>
      </c>
      <c r="H52" s="8">
        <v>1392.8</v>
      </c>
      <c r="I52" s="9">
        <f t="shared" si="3"/>
        <v>9083.7999999999993</v>
      </c>
    </row>
    <row r="53" spans="1:9" x14ac:dyDescent="0.25">
      <c r="A53" s="33" t="s">
        <v>244</v>
      </c>
      <c r="B53" s="32" t="s">
        <v>4</v>
      </c>
      <c r="C53" s="6"/>
      <c r="D53" s="6" t="s">
        <v>24</v>
      </c>
      <c r="E53" s="7">
        <v>1</v>
      </c>
      <c r="F53" s="33" t="s">
        <v>215</v>
      </c>
      <c r="G53" s="8">
        <v>7691</v>
      </c>
      <c r="H53" s="8">
        <v>1392.8</v>
      </c>
      <c r="I53" s="9">
        <f t="shared" si="3"/>
        <v>9083.7999999999993</v>
      </c>
    </row>
    <row r="54" spans="1:9" x14ac:dyDescent="0.25">
      <c r="A54" s="33" t="s">
        <v>245</v>
      </c>
      <c r="B54" s="32" t="s">
        <v>4</v>
      </c>
      <c r="C54" s="6"/>
      <c r="D54" s="6" t="s">
        <v>24</v>
      </c>
      <c r="E54" s="7">
        <v>1</v>
      </c>
      <c r="F54" s="33" t="s">
        <v>216</v>
      </c>
      <c r="G54" s="8">
        <v>8075.56</v>
      </c>
      <c r="H54" s="8">
        <v>1392.8</v>
      </c>
      <c r="I54" s="9">
        <f t="shared" si="3"/>
        <v>9468.36</v>
      </c>
    </row>
    <row r="55" spans="1:9" x14ac:dyDescent="0.25">
      <c r="A55" s="33" t="s">
        <v>246</v>
      </c>
      <c r="B55" s="32" t="s">
        <v>4</v>
      </c>
      <c r="C55" s="6"/>
      <c r="D55" s="6" t="s">
        <v>24</v>
      </c>
      <c r="E55" s="7">
        <v>1</v>
      </c>
      <c r="F55" s="33" t="s">
        <v>112</v>
      </c>
      <c r="G55" s="8">
        <v>8075.56</v>
      </c>
      <c r="H55" s="8">
        <v>1392.8</v>
      </c>
      <c r="I55" s="9">
        <f t="shared" si="3"/>
        <v>9468.36</v>
      </c>
    </row>
    <row r="56" spans="1:9" x14ac:dyDescent="0.25">
      <c r="A56" s="33" t="s">
        <v>247</v>
      </c>
      <c r="B56" s="32" t="s">
        <v>4</v>
      </c>
      <c r="C56" s="6"/>
      <c r="D56" s="6" t="s">
        <v>24</v>
      </c>
      <c r="E56" s="7">
        <v>1</v>
      </c>
      <c r="F56" s="33" t="s">
        <v>219</v>
      </c>
      <c r="G56" s="8">
        <v>7691</v>
      </c>
      <c r="H56" s="8">
        <v>1392.8</v>
      </c>
      <c r="I56" s="9">
        <f t="shared" si="3"/>
        <v>9083.7999999999993</v>
      </c>
    </row>
    <row r="57" spans="1:9" x14ac:dyDescent="0.25">
      <c r="A57" s="33" t="s">
        <v>248</v>
      </c>
      <c r="B57" s="32" t="s">
        <v>4</v>
      </c>
      <c r="C57" s="6"/>
      <c r="D57" s="6" t="s">
        <v>24</v>
      </c>
      <c r="E57" s="7">
        <v>1</v>
      </c>
      <c r="F57" s="33" t="s">
        <v>113</v>
      </c>
      <c r="G57" s="8">
        <v>2295.89</v>
      </c>
      <c r="H57" s="8">
        <v>1392.8</v>
      </c>
      <c r="I57" s="9">
        <f t="shared" si="3"/>
        <v>3688.6899999999996</v>
      </c>
    </row>
    <row r="58" spans="1:9" x14ac:dyDescent="0.25">
      <c r="A58" s="33" t="s">
        <v>249</v>
      </c>
      <c r="B58" s="32" t="s">
        <v>4</v>
      </c>
      <c r="C58" s="6"/>
      <c r="D58" s="6" t="s">
        <v>24</v>
      </c>
      <c r="E58" s="7">
        <v>1</v>
      </c>
      <c r="F58" s="33" t="s">
        <v>114</v>
      </c>
      <c r="G58" s="8">
        <v>5125.45</v>
      </c>
      <c r="H58" s="8">
        <v>1392.8</v>
      </c>
      <c r="I58" s="9">
        <f>SUM(G58:H58)</f>
        <v>6518.25</v>
      </c>
    </row>
    <row r="59" spans="1:9" x14ac:dyDescent="0.25">
      <c r="A59" s="33" t="s">
        <v>250</v>
      </c>
      <c r="B59" s="32" t="s">
        <v>4</v>
      </c>
      <c r="C59" s="6"/>
      <c r="D59" s="6" t="s">
        <v>117</v>
      </c>
      <c r="E59" s="7">
        <v>1</v>
      </c>
      <c r="F59" s="33" t="s">
        <v>251</v>
      </c>
      <c r="G59" s="8">
        <v>0</v>
      </c>
      <c r="H59" s="8">
        <v>1392.8</v>
      </c>
      <c r="I59" s="9">
        <f t="shared" si="3"/>
        <v>1392.8</v>
      </c>
    </row>
    <row r="60" spans="1:9" x14ac:dyDescent="0.25">
      <c r="A60" s="33" t="s">
        <v>252</v>
      </c>
      <c r="B60" s="32" t="s">
        <v>4</v>
      </c>
      <c r="C60" s="6"/>
      <c r="D60" s="6" t="s">
        <v>24</v>
      </c>
      <c r="E60" s="7">
        <v>1</v>
      </c>
      <c r="F60" s="33" t="s">
        <v>115</v>
      </c>
      <c r="G60" s="8">
        <v>5933.35</v>
      </c>
      <c r="H60" s="8">
        <v>1392.8</v>
      </c>
      <c r="I60" s="9">
        <f t="shared" si="3"/>
        <v>7326.1500000000005</v>
      </c>
    </row>
    <row r="61" spans="1:9" x14ac:dyDescent="0.25">
      <c r="A61" s="33" t="s">
        <v>253</v>
      </c>
      <c r="B61" s="32" t="s">
        <v>4</v>
      </c>
      <c r="C61" s="6"/>
      <c r="D61" s="6" t="s">
        <v>24</v>
      </c>
      <c r="E61" s="7">
        <v>1</v>
      </c>
      <c r="F61" s="33" t="s">
        <v>220</v>
      </c>
      <c r="G61" s="8">
        <v>5125.45</v>
      </c>
      <c r="H61" s="8">
        <v>1392.8</v>
      </c>
      <c r="I61" s="9">
        <f t="shared" si="3"/>
        <v>6518.25</v>
      </c>
    </row>
    <row r="62" spans="1:9" x14ac:dyDescent="0.25">
      <c r="A62" s="33" t="s">
        <v>254</v>
      </c>
      <c r="B62" s="32" t="s">
        <v>4</v>
      </c>
      <c r="C62" s="6"/>
      <c r="D62" s="6" t="s">
        <v>24</v>
      </c>
      <c r="E62" s="7">
        <v>1</v>
      </c>
      <c r="F62" s="33" t="s">
        <v>116</v>
      </c>
      <c r="G62" s="8">
        <v>5404.89</v>
      </c>
      <c r="H62" s="8">
        <v>1392.8</v>
      </c>
      <c r="I62" s="9">
        <f t="shared" si="3"/>
        <v>6797.6900000000005</v>
      </c>
    </row>
    <row r="63" spans="1:9" x14ac:dyDescent="0.25">
      <c r="A63" s="33" t="s">
        <v>255</v>
      </c>
      <c r="B63" s="32" t="s">
        <v>4</v>
      </c>
      <c r="C63" s="6"/>
      <c r="D63" s="6" t="s">
        <v>24</v>
      </c>
      <c r="E63" s="7">
        <v>1</v>
      </c>
      <c r="F63" s="33" t="s">
        <v>261</v>
      </c>
      <c r="G63" s="8">
        <v>5650.81</v>
      </c>
      <c r="H63" s="8">
        <v>1392.8</v>
      </c>
      <c r="I63" s="9">
        <f t="shared" si="3"/>
        <v>7043.6100000000006</v>
      </c>
    </row>
    <row r="64" spans="1:9" x14ac:dyDescent="0.25">
      <c r="A64" s="33" t="s">
        <v>256</v>
      </c>
      <c r="B64" s="32" t="s">
        <v>4</v>
      </c>
      <c r="C64" s="6"/>
      <c r="D64" s="6" t="s">
        <v>117</v>
      </c>
      <c r="E64" s="7">
        <v>1</v>
      </c>
      <c r="F64" s="33" t="s">
        <v>257</v>
      </c>
      <c r="G64" s="8">
        <v>0</v>
      </c>
      <c r="H64" s="8">
        <v>1392.8</v>
      </c>
      <c r="I64" s="9">
        <f t="shared" si="3"/>
        <v>1392.8</v>
      </c>
    </row>
    <row r="65" spans="1:9" x14ac:dyDescent="0.25">
      <c r="A65" s="33" t="s">
        <v>258</v>
      </c>
      <c r="B65" s="32" t="s">
        <v>4</v>
      </c>
      <c r="C65" s="6"/>
      <c r="D65" s="6" t="s">
        <v>24</v>
      </c>
      <c r="E65" s="7">
        <v>1</v>
      </c>
      <c r="F65" s="33" t="s">
        <v>232</v>
      </c>
      <c r="G65" s="8">
        <v>8075.56</v>
      </c>
      <c r="H65" s="8">
        <v>1392.8</v>
      </c>
      <c r="I65" s="9">
        <f t="shared" si="3"/>
        <v>9468.36</v>
      </c>
    </row>
    <row r="66" spans="1:9" ht="28.5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54" t="s">
        <v>300</v>
      </c>
      <c r="G66" s="8" t="s">
        <v>301</v>
      </c>
      <c r="H66" s="8" t="s">
        <v>318</v>
      </c>
      <c r="I66" s="9" t="s">
        <v>303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si="3"/>
        <v>6524.89</v>
      </c>
    </row>
    <row r="69" spans="1:9" x14ac:dyDescent="0.25">
      <c r="A69" s="33" t="s">
        <v>260</v>
      </c>
      <c r="B69" s="32" t="s">
        <v>6</v>
      </c>
      <c r="C69" s="6"/>
      <c r="D69" s="6" t="s">
        <v>24</v>
      </c>
      <c r="E69" s="7">
        <v>1</v>
      </c>
      <c r="F69" s="33" t="s">
        <v>119</v>
      </c>
      <c r="G69" s="8">
        <v>2531.2199999999998</v>
      </c>
      <c r="H69" s="8">
        <v>505.81</v>
      </c>
      <c r="I69" s="9">
        <f t="shared" si="3"/>
        <v>3037.0299999999997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3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3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3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304</v>
      </c>
      <c r="G73" s="8">
        <v>5763.82</v>
      </c>
      <c r="H73" s="8">
        <v>505.81</v>
      </c>
      <c r="I73" s="9">
        <f t="shared" si="3"/>
        <v>6269.63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3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3"/>
        <v>465.35</v>
      </c>
    </row>
    <row r="76" spans="1:9" x14ac:dyDescent="0.25">
      <c r="A76" s="31" t="s">
        <v>262</v>
      </c>
      <c r="B76" s="32" t="s">
        <v>7</v>
      </c>
      <c r="C76" s="32"/>
      <c r="D76" s="6" t="s">
        <v>117</v>
      </c>
      <c r="E76" s="7">
        <v>1</v>
      </c>
      <c r="F76" s="31" t="s">
        <v>319</v>
      </c>
      <c r="G76" s="8">
        <v>0</v>
      </c>
      <c r="H76" s="8">
        <v>465.35</v>
      </c>
      <c r="I76" s="9">
        <f t="shared" si="3"/>
        <v>465.35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3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305</v>
      </c>
      <c r="G78" s="8">
        <v>5563.85</v>
      </c>
      <c r="H78" s="8">
        <v>465.35</v>
      </c>
      <c r="I78" s="9">
        <f t="shared" si="3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3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3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22</v>
      </c>
      <c r="D82" s="16">
        <v>1</v>
      </c>
      <c r="E82" s="16">
        <v>23</v>
      </c>
      <c r="F82" s="17"/>
      <c r="G82" s="9">
        <v>130738.08</v>
      </c>
      <c r="H82" s="9">
        <v>30841.599999999999</v>
      </c>
      <c r="I82" s="9">
        <v>161578.68</v>
      </c>
    </row>
    <row r="83" spans="1:9" ht="30" x14ac:dyDescent="0.25">
      <c r="A83" s="15" t="s">
        <v>129</v>
      </c>
      <c r="B83" s="28" t="s">
        <v>130</v>
      </c>
      <c r="C83" s="16">
        <f>SUMIFS($E$49:$E$83,$B$49:$B$83,"FGS-2",$D$49:$D$83,"&lt;&gt;VAGO")</f>
        <v>3</v>
      </c>
      <c r="D83" s="16">
        <f>SUMIFS($E$49:$E$83,$B$49:$B$83,"FGS-2",$D$49:$D$83,"VAGO")</f>
        <v>0</v>
      </c>
      <c r="E83" s="16">
        <f t="shared" ref="E83:E87" si="4">C83+D83</f>
        <v>3</v>
      </c>
      <c r="F83" s="20" t="s">
        <v>320</v>
      </c>
      <c r="G83" s="9">
        <v>25123.200000000001</v>
      </c>
      <c r="H83" s="9">
        <v>3399.04</v>
      </c>
      <c r="I83" s="9">
        <v>28522.240000000002</v>
      </c>
    </row>
    <row r="84" spans="1:9" x14ac:dyDescent="0.25">
      <c r="A84" s="15" t="s">
        <v>131</v>
      </c>
      <c r="B84" s="28" t="s">
        <v>132</v>
      </c>
      <c r="C84" s="16">
        <f>SUMIFS($E$49:$E$83,$B$49:$B$83,"FGS-3",$D$49:$D$83,"&lt;&gt;VAGO")</f>
        <v>0</v>
      </c>
      <c r="D84" s="16">
        <f>SUMIFS($E$49:$E$83,$B$49:$B$83,"FGS-3",$D$49:$D$83,"VAGO")</f>
        <v>0</v>
      </c>
      <c r="E84" s="16">
        <f t="shared" si="4"/>
        <v>0</v>
      </c>
      <c r="F84" s="20"/>
      <c r="G84" s="9">
        <f>SUMIF($B$49:$B$83,"FGS-3",$G$49:$G$83)</f>
        <v>0</v>
      </c>
      <c r="H84" s="9">
        <f>SUMIF($B$49:$B$83,"FGS-3",$G$49:$G$83)</f>
        <v>0</v>
      </c>
      <c r="I84" s="9">
        <f>SUMIF($B$49:$B$83,"FGS-3",$G$49:$G$83)</f>
        <v>0</v>
      </c>
    </row>
    <row r="85" spans="1:9" x14ac:dyDescent="0.25">
      <c r="A85" s="21" t="s">
        <v>133</v>
      </c>
      <c r="B85" s="34" t="s">
        <v>134</v>
      </c>
      <c r="C85" s="16">
        <f>SUMIFS($E$49:$E$83,$B$49:$B$83,"FGA-1",$D$49:$D$83,"&lt;&gt;VAGO")</f>
        <v>5</v>
      </c>
      <c r="D85" s="16">
        <f>SUMIFS($E$49:$E$83,$B$49:$B$83,"FGA-1",$D$49:$D$83,"VAGO")</f>
        <v>0</v>
      </c>
      <c r="E85" s="16">
        <f t="shared" si="4"/>
        <v>5</v>
      </c>
      <c r="F85" s="22"/>
      <c r="G85" s="9">
        <v>13341.62</v>
      </c>
      <c r="H85" s="9">
        <v>2529.0500000000002</v>
      </c>
      <c r="I85" s="9">
        <v>15870.67</v>
      </c>
    </row>
    <row r="86" spans="1:9" x14ac:dyDescent="0.25">
      <c r="A86" s="15" t="s">
        <v>135</v>
      </c>
      <c r="B86" s="28" t="s">
        <v>7</v>
      </c>
      <c r="C86" s="16">
        <f>SUMIFS($E$49:$E$83,$B$49:$B$83,"FGA-2",$D$49:$D$83,"&lt;&gt;VAGO")</f>
        <v>7</v>
      </c>
      <c r="D86" s="16">
        <f>SUMIFS($E$49:$E$83,$B$49:$B$83,"FGA-2",$D$49:$D$83,"VAGO")</f>
        <v>0</v>
      </c>
      <c r="E86" s="16">
        <f t="shared" si="4"/>
        <v>7</v>
      </c>
      <c r="F86" s="22"/>
      <c r="G86" s="9">
        <v>17695.099999999999</v>
      </c>
      <c r="H86" s="9">
        <v>3257.45</v>
      </c>
      <c r="I86" s="9">
        <v>20952.55</v>
      </c>
    </row>
    <row r="87" spans="1:9" x14ac:dyDescent="0.25">
      <c r="A87" s="15" t="s">
        <v>136</v>
      </c>
      <c r="B87" s="28" t="s">
        <v>137</v>
      </c>
      <c r="C87" s="16">
        <f>SUMIFS($E$49:$E$83,$B$49:$B$83,"FGA-3",$D$49:$D$83,"&lt;&gt;VAGO")</f>
        <v>0</v>
      </c>
      <c r="D87" s="16">
        <f>SUMIFS($E$49:$E$83,$B$49:$B$83,"FGA-3",$D$49:$D$83,"VAGO")</f>
        <v>0</v>
      </c>
      <c r="E87" s="16">
        <f t="shared" si="4"/>
        <v>0</v>
      </c>
      <c r="F87" s="20"/>
      <c r="G87" s="9">
        <f>SUMIF($B$49:$B$83,"FGA-3",$G$49:$G$83)</f>
        <v>0</v>
      </c>
      <c r="H87" s="9">
        <f>SUMIF($B$49:$B$83,"FGA-3",$G$49:$G$83)</f>
        <v>0</v>
      </c>
      <c r="I87" s="9">
        <f>SUMIF($B$49:$B$83,"FGA-3",$G$49:$G$83)</f>
        <v>0</v>
      </c>
    </row>
    <row r="88" spans="1:9" ht="30" x14ac:dyDescent="0.25">
      <c r="A88" s="12" t="s">
        <v>138</v>
      </c>
      <c r="B88" s="27"/>
      <c r="C88" s="13">
        <f t="shared" ref="C88:E88" si="5">SUM(C82:C87)</f>
        <v>37</v>
      </c>
      <c r="D88" s="13">
        <f t="shared" si="5"/>
        <v>1</v>
      </c>
      <c r="E88" s="13">
        <f t="shared" si="5"/>
        <v>38</v>
      </c>
      <c r="F88" s="27"/>
      <c r="G88" s="29">
        <f>SUM(G82:G87)</f>
        <v>186898</v>
      </c>
      <c r="H88" s="29">
        <f>SUM(H82:H87)</f>
        <v>40027.14</v>
      </c>
      <c r="I88" s="29">
        <f>SUM(I82:I87)</f>
        <v>226924.13999999998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f ca="1">SUM(C26+C40+C88)</f>
        <v>46</v>
      </c>
      <c r="D91" s="13">
        <f ca="1">SUM(D26+D40+D88)</f>
        <v>0</v>
      </c>
      <c r="E91" s="13">
        <f ca="1">SUM(E26+E40+E88)</f>
        <v>46</v>
      </c>
      <c r="F91" s="14"/>
      <c r="G91" s="29">
        <f>SUM(H26+G40+G88)</f>
        <v>222750.24</v>
      </c>
      <c r="H91" s="29">
        <f>SUM(I26+H40+H88)</f>
        <v>80933.040000000008</v>
      </c>
      <c r="I91" s="29">
        <v>303683.28000000003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28"/>
      <c r="C93" s="128"/>
      <c r="D93" s="128"/>
      <c r="E93" s="128"/>
      <c r="F93" s="129"/>
      <c r="G93" s="10"/>
      <c r="H93" s="19"/>
      <c r="I93" s="19"/>
    </row>
    <row r="94" spans="1:9" x14ac:dyDescent="0.25">
      <c r="A94" s="131" t="s">
        <v>147</v>
      </c>
      <c r="B94" s="125"/>
      <c r="C94" s="125"/>
      <c r="D94" s="125"/>
      <c r="E94" s="125"/>
      <c r="F94" s="126"/>
      <c r="G94" s="10"/>
      <c r="H94" s="19"/>
      <c r="I94" s="19"/>
    </row>
    <row r="95" spans="1:9" x14ac:dyDescent="0.25">
      <c r="A95" s="131" t="s">
        <v>148</v>
      </c>
      <c r="B95" s="125"/>
      <c r="C95" s="125"/>
      <c r="D95" s="125"/>
      <c r="E95" s="125"/>
      <c r="F95" s="126"/>
      <c r="G95" s="10"/>
      <c r="H95" s="19"/>
      <c r="I95" s="19"/>
    </row>
    <row r="96" spans="1:9" x14ac:dyDescent="0.25">
      <c r="A96" s="124" t="s">
        <v>149</v>
      </c>
      <c r="B96" s="125"/>
      <c r="C96" s="125"/>
      <c r="D96" s="125"/>
      <c r="E96" s="125"/>
      <c r="F96" s="126"/>
      <c r="G96" s="10"/>
      <c r="H96" s="19"/>
      <c r="I96" s="19"/>
    </row>
    <row r="97" spans="1:9" x14ac:dyDescent="0.25">
      <c r="A97" s="124" t="s">
        <v>150</v>
      </c>
      <c r="B97" s="125"/>
      <c r="C97" s="125"/>
      <c r="D97" s="125"/>
      <c r="E97" s="125"/>
      <c r="F97" s="126"/>
      <c r="G97" s="10"/>
      <c r="H97" s="19"/>
      <c r="I97" s="19"/>
    </row>
    <row r="98" spans="1:9" x14ac:dyDescent="0.25">
      <c r="A98" s="124" t="s">
        <v>151</v>
      </c>
      <c r="B98" s="125"/>
      <c r="C98" s="125"/>
      <c r="D98" s="125"/>
      <c r="E98" s="125"/>
      <c r="F98" s="126"/>
      <c r="G98" s="10"/>
      <c r="H98" s="19"/>
      <c r="I98" s="19"/>
    </row>
    <row r="99" spans="1:9" x14ac:dyDescent="0.25">
      <c r="A99" s="124" t="s">
        <v>228</v>
      </c>
      <c r="B99" s="125"/>
      <c r="C99" s="125"/>
      <c r="D99" s="125"/>
      <c r="E99" s="125"/>
      <c r="F99" s="126"/>
      <c r="G99" s="10"/>
      <c r="H99" s="19"/>
      <c r="I99" s="19"/>
    </row>
    <row r="100" spans="1:9" x14ac:dyDescent="0.25">
      <c r="A100" s="124" t="s">
        <v>234</v>
      </c>
      <c r="B100" s="125"/>
      <c r="C100" s="125"/>
      <c r="D100" s="125"/>
      <c r="E100" s="125"/>
      <c r="F100" s="126"/>
      <c r="G100" s="10"/>
      <c r="H100" s="19"/>
      <c r="I100" s="19"/>
    </row>
    <row r="101" spans="1:9" x14ac:dyDescent="0.25">
      <c r="A101" s="124" t="s">
        <v>265</v>
      </c>
      <c r="B101" s="125"/>
      <c r="C101" s="125"/>
      <c r="D101" s="125"/>
      <c r="E101" s="125"/>
      <c r="F101" s="126"/>
      <c r="G101" s="10"/>
      <c r="H101" s="19"/>
      <c r="I101" s="19"/>
    </row>
    <row r="102" spans="1:9" x14ac:dyDescent="0.25">
      <c r="A102" s="133"/>
      <c r="B102" s="128"/>
      <c r="C102" s="128"/>
      <c r="D102" s="128"/>
      <c r="E102" s="128"/>
      <c r="F102" s="129"/>
      <c r="G102" s="10"/>
      <c r="H102" s="19"/>
      <c r="I102" s="19"/>
    </row>
    <row r="103" spans="1:9" x14ac:dyDescent="0.25">
      <c r="A103" s="133"/>
      <c r="B103" s="128"/>
      <c r="C103" s="128"/>
      <c r="D103" s="128"/>
      <c r="E103" s="128"/>
      <c r="F103" s="129"/>
      <c r="G103" s="10"/>
      <c r="H103" s="19"/>
      <c r="I103" s="19"/>
    </row>
    <row r="104" spans="1:9" x14ac:dyDescent="0.25">
      <c r="A104" s="133"/>
      <c r="B104" s="128"/>
      <c r="C104" s="128"/>
      <c r="D104" s="128"/>
      <c r="E104" s="128"/>
      <c r="F104" s="129"/>
      <c r="G104" s="10"/>
      <c r="H104" s="19"/>
      <c r="I104" s="19"/>
    </row>
    <row r="105" spans="1:9" x14ac:dyDescent="0.25">
      <c r="A105" s="134"/>
      <c r="B105" s="135"/>
      <c r="C105" s="135"/>
      <c r="D105" s="135"/>
      <c r="E105" s="135"/>
      <c r="F105" s="136"/>
      <c r="G105" s="10"/>
      <c r="H105" s="19"/>
      <c r="I105" s="19"/>
    </row>
    <row r="106" spans="1:9" x14ac:dyDescent="0.25">
      <c r="A106" s="137"/>
      <c r="B106" s="138"/>
      <c r="C106" s="138"/>
      <c r="D106" s="138"/>
      <c r="E106" s="138"/>
      <c r="F106" s="138"/>
      <c r="G106" s="10"/>
      <c r="H106" s="19"/>
      <c r="I106" s="19"/>
    </row>
    <row r="107" spans="1:9" x14ac:dyDescent="0.25">
      <c r="A107" s="139" t="s">
        <v>152</v>
      </c>
      <c r="B107" s="140"/>
      <c r="C107" s="140"/>
      <c r="D107" s="140"/>
      <c r="E107" s="140"/>
      <c r="F107" s="141"/>
      <c r="G107" s="10"/>
      <c r="H107" s="19"/>
      <c r="I107" s="19"/>
    </row>
    <row r="108" spans="1:9" x14ac:dyDescent="0.25">
      <c r="A108" s="142" t="s">
        <v>153</v>
      </c>
      <c r="B108" s="128"/>
      <c r="C108" s="128"/>
      <c r="D108" s="128"/>
      <c r="E108" s="128"/>
      <c r="F108" s="129"/>
      <c r="G108" s="10"/>
      <c r="H108" s="19"/>
      <c r="I108" s="19"/>
    </row>
    <row r="109" spans="1:9" x14ac:dyDescent="0.25">
      <c r="A109" s="132" t="s">
        <v>154</v>
      </c>
      <c r="B109" s="128"/>
      <c r="C109" s="128"/>
      <c r="D109" s="128"/>
      <c r="E109" s="128"/>
      <c r="F109" s="129"/>
      <c r="G109" s="10"/>
      <c r="H109" s="19"/>
      <c r="I109" s="19"/>
    </row>
    <row r="110" spans="1:9" x14ac:dyDescent="0.25">
      <c r="A110" s="132" t="s">
        <v>155</v>
      </c>
      <c r="B110" s="128"/>
      <c r="C110" s="128"/>
      <c r="D110" s="128"/>
      <c r="E110" s="128"/>
      <c r="F110" s="129"/>
      <c r="G110" s="10"/>
      <c r="H110" s="19"/>
      <c r="I110" s="19"/>
    </row>
    <row r="111" spans="1:9" x14ac:dyDescent="0.25">
      <c r="A111" s="132" t="s">
        <v>156</v>
      </c>
      <c r="B111" s="128"/>
      <c r="C111" s="128"/>
      <c r="D111" s="128"/>
      <c r="E111" s="128"/>
      <c r="F111" s="129"/>
      <c r="G111" s="10"/>
      <c r="H111" s="19"/>
      <c r="I111" s="19"/>
    </row>
    <row r="112" spans="1:9" x14ac:dyDescent="0.25">
      <c r="A112" s="132" t="s">
        <v>157</v>
      </c>
      <c r="B112" s="128"/>
      <c r="C112" s="128"/>
      <c r="D112" s="128"/>
      <c r="E112" s="128"/>
      <c r="F112" s="129"/>
      <c r="G112" s="10"/>
      <c r="H112" s="19"/>
      <c r="I112" s="19"/>
    </row>
    <row r="113" spans="1:9" x14ac:dyDescent="0.25">
      <c r="A113" s="132" t="s">
        <v>158</v>
      </c>
      <c r="B113" s="128"/>
      <c r="C113" s="128"/>
      <c r="D113" s="128"/>
      <c r="E113" s="128"/>
      <c r="F113" s="129"/>
      <c r="G113" s="10"/>
      <c r="H113" s="19"/>
      <c r="I113" s="19"/>
    </row>
    <row r="114" spans="1:9" x14ac:dyDescent="0.25">
      <c r="A114" s="132" t="s">
        <v>159</v>
      </c>
      <c r="B114" s="128"/>
      <c r="C114" s="128"/>
      <c r="D114" s="128"/>
      <c r="E114" s="128"/>
      <c r="F114" s="129"/>
      <c r="G114" s="10"/>
      <c r="H114" s="19"/>
      <c r="I114" s="19"/>
    </row>
    <row r="115" spans="1:9" x14ac:dyDescent="0.25">
      <c r="A115" s="132" t="s">
        <v>160</v>
      </c>
      <c r="B115" s="128"/>
      <c r="C115" s="128"/>
      <c r="D115" s="128"/>
      <c r="E115" s="128"/>
      <c r="F115" s="129"/>
      <c r="G115" s="10"/>
      <c r="H115" s="19"/>
      <c r="I115" s="19"/>
    </row>
    <row r="116" spans="1:9" x14ac:dyDescent="0.25">
      <c r="A116" s="132" t="s">
        <v>161</v>
      </c>
      <c r="B116" s="128"/>
      <c r="C116" s="128"/>
      <c r="D116" s="128"/>
      <c r="E116" s="128"/>
      <c r="F116" s="129"/>
      <c r="G116" s="10"/>
      <c r="H116" s="19"/>
      <c r="I116" s="19"/>
    </row>
    <row r="117" spans="1:9" x14ac:dyDescent="0.25">
      <c r="A117" s="132" t="s">
        <v>162</v>
      </c>
      <c r="B117" s="128"/>
      <c r="C117" s="128"/>
      <c r="D117" s="128"/>
      <c r="E117" s="128"/>
      <c r="F117" s="129"/>
      <c r="G117" s="10"/>
      <c r="H117" s="19"/>
      <c r="I117" s="19"/>
    </row>
    <row r="118" spans="1:9" x14ac:dyDescent="0.25">
      <c r="A118" s="132" t="s">
        <v>163</v>
      </c>
      <c r="B118" s="128"/>
      <c r="C118" s="128"/>
      <c r="D118" s="128"/>
      <c r="E118" s="128"/>
      <c r="F118" s="129"/>
      <c r="G118" s="10"/>
      <c r="H118" s="19"/>
      <c r="I118" s="19"/>
    </row>
    <row r="119" spans="1:9" x14ac:dyDescent="0.25">
      <c r="A119" s="132" t="s">
        <v>164</v>
      </c>
      <c r="B119" s="128"/>
      <c r="C119" s="128"/>
      <c r="D119" s="128"/>
      <c r="E119" s="128"/>
      <c r="F119" s="129"/>
      <c r="G119" s="10"/>
      <c r="H119" s="19"/>
      <c r="I119" s="19"/>
    </row>
    <row r="120" spans="1:9" x14ac:dyDescent="0.25">
      <c r="A120" s="132" t="s">
        <v>165</v>
      </c>
      <c r="B120" s="128"/>
      <c r="C120" s="128"/>
      <c r="D120" s="128"/>
      <c r="E120" s="128"/>
      <c r="F120" s="129"/>
      <c r="G120" s="10"/>
      <c r="H120" s="19"/>
      <c r="I120" s="19"/>
    </row>
    <row r="121" spans="1:9" x14ac:dyDescent="0.25">
      <c r="A121" s="132" t="s">
        <v>166</v>
      </c>
      <c r="B121" s="128"/>
      <c r="C121" s="128"/>
      <c r="D121" s="128"/>
      <c r="E121" s="128"/>
      <c r="F121" s="129"/>
      <c r="G121" s="10"/>
      <c r="H121" s="19"/>
      <c r="I121" s="19"/>
    </row>
    <row r="122" spans="1:9" x14ac:dyDescent="0.25">
      <c r="A122" s="132" t="s">
        <v>167</v>
      </c>
      <c r="B122" s="128"/>
      <c r="C122" s="128"/>
      <c r="D122" s="128"/>
      <c r="E122" s="128"/>
      <c r="F122" s="129"/>
      <c r="G122" s="10"/>
      <c r="H122" s="19"/>
      <c r="I122" s="19"/>
    </row>
    <row r="123" spans="1:9" x14ac:dyDescent="0.25">
      <c r="A123" s="132" t="s">
        <v>168</v>
      </c>
      <c r="B123" s="128"/>
      <c r="C123" s="128"/>
      <c r="D123" s="128"/>
      <c r="E123" s="128"/>
      <c r="F123" s="129"/>
      <c r="G123" s="10"/>
      <c r="H123" s="19"/>
      <c r="I123" s="19"/>
    </row>
    <row r="124" spans="1:9" x14ac:dyDescent="0.25">
      <c r="A124" s="132" t="s">
        <v>169</v>
      </c>
      <c r="B124" s="128"/>
      <c r="C124" s="128"/>
      <c r="D124" s="128"/>
      <c r="E124" s="128"/>
      <c r="F124" s="129"/>
      <c r="G124" s="10"/>
      <c r="H124" s="19"/>
      <c r="I124" s="19"/>
    </row>
    <row r="125" spans="1:9" x14ac:dyDescent="0.25">
      <c r="A125" s="132" t="s">
        <v>170</v>
      </c>
      <c r="B125" s="128"/>
      <c r="C125" s="128"/>
      <c r="D125" s="128"/>
      <c r="E125" s="128"/>
      <c r="F125" s="129"/>
      <c r="G125" s="10"/>
      <c r="H125" s="19"/>
      <c r="I125" s="19"/>
    </row>
    <row r="126" spans="1:9" x14ac:dyDescent="0.25">
      <c r="A126" s="132" t="s">
        <v>171</v>
      </c>
      <c r="B126" s="128"/>
      <c r="C126" s="128"/>
      <c r="D126" s="128"/>
      <c r="E126" s="128"/>
      <c r="F126" s="129"/>
      <c r="G126" s="10"/>
      <c r="H126" s="19"/>
      <c r="I126" s="19"/>
    </row>
    <row r="127" spans="1:9" x14ac:dyDescent="0.25">
      <c r="A127" s="132" t="s">
        <v>172</v>
      </c>
      <c r="B127" s="128"/>
      <c r="C127" s="128"/>
      <c r="D127" s="128"/>
      <c r="E127" s="128"/>
      <c r="F127" s="129"/>
      <c r="G127" s="10"/>
      <c r="H127" s="19"/>
      <c r="I127" s="19"/>
    </row>
    <row r="128" spans="1:9" x14ac:dyDescent="0.25">
      <c r="A128" s="132" t="s">
        <v>173</v>
      </c>
      <c r="B128" s="128"/>
      <c r="C128" s="128"/>
      <c r="D128" s="128"/>
      <c r="E128" s="128"/>
      <c r="F128" s="129"/>
      <c r="G128" s="10"/>
      <c r="H128" s="19"/>
      <c r="I128" s="19"/>
    </row>
    <row r="129" spans="1:9" x14ac:dyDescent="0.25">
      <c r="A129" s="132" t="s">
        <v>174</v>
      </c>
      <c r="B129" s="128"/>
      <c r="C129" s="128"/>
      <c r="D129" s="128"/>
      <c r="E129" s="128"/>
      <c r="F129" s="129"/>
      <c r="G129" s="10"/>
      <c r="H129" s="19"/>
      <c r="I129" s="19"/>
    </row>
    <row r="130" spans="1:9" x14ac:dyDescent="0.25">
      <c r="A130" s="132" t="s">
        <v>175</v>
      </c>
      <c r="B130" s="128"/>
      <c r="C130" s="128"/>
      <c r="D130" s="128"/>
      <c r="E130" s="128"/>
      <c r="F130" s="129"/>
      <c r="G130" s="10"/>
      <c r="H130" s="19"/>
      <c r="I130" s="19"/>
    </row>
    <row r="131" spans="1:9" x14ac:dyDescent="0.25">
      <c r="A131" s="132" t="s">
        <v>176</v>
      </c>
      <c r="B131" s="128"/>
      <c r="C131" s="128"/>
      <c r="D131" s="128"/>
      <c r="E131" s="128"/>
      <c r="F131" s="129"/>
      <c r="G131" s="10"/>
      <c r="H131" s="19"/>
      <c r="I131" s="19"/>
    </row>
    <row r="132" spans="1:9" x14ac:dyDescent="0.25">
      <c r="A132" s="132" t="s">
        <v>177</v>
      </c>
      <c r="B132" s="128"/>
      <c r="C132" s="128"/>
      <c r="D132" s="128"/>
      <c r="E132" s="128"/>
      <c r="F132" s="129"/>
      <c r="G132" s="10"/>
      <c r="H132" s="19"/>
      <c r="I132" s="19"/>
    </row>
    <row r="133" spans="1:9" x14ac:dyDescent="0.25">
      <c r="A133" s="132" t="s">
        <v>178</v>
      </c>
      <c r="B133" s="128"/>
      <c r="C133" s="128"/>
      <c r="D133" s="128"/>
      <c r="E133" s="128"/>
      <c r="F133" s="129"/>
      <c r="G133" s="10"/>
      <c r="H133" s="19"/>
      <c r="I133" s="19"/>
    </row>
    <row r="134" spans="1:9" x14ac:dyDescent="0.25">
      <c r="A134" s="132" t="s">
        <v>179</v>
      </c>
      <c r="B134" s="128"/>
      <c r="C134" s="128"/>
      <c r="D134" s="128"/>
      <c r="E134" s="128"/>
      <c r="F134" s="129"/>
      <c r="G134" s="10"/>
      <c r="H134" s="19"/>
      <c r="I134" s="19"/>
    </row>
    <row r="135" spans="1:9" x14ac:dyDescent="0.25">
      <c r="A135" s="132" t="s">
        <v>180</v>
      </c>
      <c r="B135" s="128"/>
      <c r="C135" s="128"/>
      <c r="D135" s="128"/>
      <c r="E135" s="128"/>
      <c r="F135" s="129"/>
      <c r="G135" s="10"/>
      <c r="H135" s="19"/>
      <c r="I135" s="19"/>
    </row>
    <row r="136" spans="1:9" x14ac:dyDescent="0.25">
      <c r="A136" s="132" t="s">
        <v>181</v>
      </c>
      <c r="B136" s="128"/>
      <c r="C136" s="128"/>
      <c r="D136" s="128"/>
      <c r="E136" s="128"/>
      <c r="F136" s="129"/>
      <c r="G136" s="10"/>
      <c r="H136" s="19"/>
      <c r="I136" s="19"/>
    </row>
    <row r="137" spans="1:9" x14ac:dyDescent="0.25">
      <c r="A137" s="132" t="s">
        <v>182</v>
      </c>
      <c r="B137" s="128"/>
      <c r="C137" s="128"/>
      <c r="D137" s="128"/>
      <c r="E137" s="128"/>
      <c r="F137" s="129"/>
      <c r="G137" s="10"/>
      <c r="H137" s="19"/>
      <c r="I137" s="19"/>
    </row>
    <row r="138" spans="1:9" x14ac:dyDescent="0.25">
      <c r="A138" s="132" t="s">
        <v>183</v>
      </c>
      <c r="B138" s="128"/>
      <c r="C138" s="128"/>
      <c r="D138" s="128"/>
      <c r="E138" s="128"/>
      <c r="F138" s="129"/>
      <c r="G138" s="10"/>
      <c r="H138" s="19"/>
      <c r="I138" s="19"/>
    </row>
    <row r="139" spans="1:9" x14ac:dyDescent="0.25">
      <c r="A139" s="132" t="s">
        <v>184</v>
      </c>
      <c r="B139" s="128"/>
      <c r="C139" s="128"/>
      <c r="D139" s="128"/>
      <c r="E139" s="128"/>
      <c r="F139" s="129"/>
      <c r="G139" s="10"/>
      <c r="H139" s="19"/>
      <c r="I139" s="19"/>
    </row>
    <row r="140" spans="1:9" x14ac:dyDescent="0.25">
      <c r="A140" s="132" t="s">
        <v>185</v>
      </c>
      <c r="B140" s="128"/>
      <c r="C140" s="128"/>
      <c r="D140" s="128"/>
      <c r="E140" s="128"/>
      <c r="F140" s="129"/>
      <c r="G140" s="10"/>
      <c r="H140" s="19"/>
      <c r="I140" s="19"/>
    </row>
    <row r="141" spans="1:9" x14ac:dyDescent="0.25">
      <c r="A141" s="132" t="s">
        <v>186</v>
      </c>
      <c r="B141" s="128"/>
      <c r="C141" s="128"/>
      <c r="D141" s="128"/>
      <c r="E141" s="128"/>
      <c r="F141" s="129"/>
      <c r="G141" s="10"/>
      <c r="H141" s="19"/>
      <c r="I141" s="19"/>
    </row>
    <row r="142" spans="1:9" x14ac:dyDescent="0.25">
      <c r="A142" s="132" t="s">
        <v>187</v>
      </c>
      <c r="B142" s="128"/>
      <c r="C142" s="128"/>
      <c r="D142" s="128"/>
      <c r="E142" s="128"/>
      <c r="F142" s="129"/>
      <c r="G142" s="10"/>
      <c r="H142" s="19"/>
      <c r="I142" s="19"/>
    </row>
    <row r="143" spans="1:9" x14ac:dyDescent="0.25">
      <c r="A143" s="132" t="s">
        <v>188</v>
      </c>
      <c r="B143" s="128"/>
      <c r="C143" s="128"/>
      <c r="D143" s="128"/>
      <c r="E143" s="128"/>
      <c r="F143" s="129"/>
      <c r="G143" s="10"/>
      <c r="H143" s="19"/>
      <c r="I143" s="19"/>
    </row>
    <row r="144" spans="1:9" x14ac:dyDescent="0.25">
      <c r="A144" s="132" t="s">
        <v>189</v>
      </c>
      <c r="B144" s="128"/>
      <c r="C144" s="128"/>
      <c r="D144" s="128"/>
      <c r="E144" s="128"/>
      <c r="F144" s="129"/>
      <c r="G144" s="10"/>
      <c r="H144" s="19"/>
      <c r="I144" s="19"/>
    </row>
    <row r="145" spans="1:9" x14ac:dyDescent="0.25">
      <c r="A145" s="132" t="s">
        <v>190</v>
      </c>
      <c r="B145" s="128"/>
      <c r="C145" s="128"/>
      <c r="D145" s="128"/>
      <c r="E145" s="128"/>
      <c r="F145" s="129"/>
      <c r="G145" s="10"/>
      <c r="H145" s="19"/>
      <c r="I145" s="19"/>
    </row>
    <row r="146" spans="1:9" x14ac:dyDescent="0.25">
      <c r="A146" s="132" t="s">
        <v>191</v>
      </c>
      <c r="B146" s="128"/>
      <c r="C146" s="128"/>
      <c r="D146" s="128"/>
      <c r="E146" s="128"/>
      <c r="F146" s="129"/>
      <c r="G146" s="10"/>
      <c r="H146" s="19"/>
      <c r="I146" s="19"/>
    </row>
    <row r="147" spans="1:9" x14ac:dyDescent="0.25">
      <c r="A147" s="132" t="s">
        <v>192</v>
      </c>
      <c r="B147" s="128"/>
      <c r="C147" s="128"/>
      <c r="D147" s="128"/>
      <c r="E147" s="128"/>
      <c r="F147" s="129"/>
      <c r="G147" s="10"/>
      <c r="H147" s="19"/>
      <c r="I147" s="19"/>
    </row>
    <row r="148" spans="1:9" x14ac:dyDescent="0.25">
      <c r="A148" s="132" t="s">
        <v>193</v>
      </c>
      <c r="B148" s="128"/>
      <c r="C148" s="128"/>
      <c r="D148" s="128"/>
      <c r="E148" s="128"/>
      <c r="F148" s="129"/>
      <c r="G148" s="10"/>
      <c r="H148" s="19"/>
      <c r="I148" s="19"/>
    </row>
    <row r="149" spans="1:9" x14ac:dyDescent="0.25">
      <c r="A149" s="132" t="s">
        <v>194</v>
      </c>
      <c r="B149" s="128"/>
      <c r="C149" s="128"/>
      <c r="D149" s="128"/>
      <c r="E149" s="128"/>
      <c r="F149" s="129"/>
      <c r="G149" s="35"/>
      <c r="H149" s="35"/>
      <c r="I149" s="35"/>
    </row>
    <row r="150" spans="1:9" x14ac:dyDescent="0.25">
      <c r="A150" s="132" t="s">
        <v>195</v>
      </c>
      <c r="B150" s="128"/>
      <c r="C150" s="128"/>
      <c r="D150" s="128"/>
      <c r="E150" s="128"/>
      <c r="F150" s="129"/>
      <c r="G150" s="35"/>
      <c r="H150" s="35"/>
      <c r="I150" s="35"/>
    </row>
    <row r="151" spans="1:9" x14ac:dyDescent="0.25">
      <c r="A151" s="132" t="s">
        <v>196</v>
      </c>
      <c r="B151" s="128"/>
      <c r="C151" s="128"/>
      <c r="D151" s="128"/>
      <c r="E151" s="128"/>
      <c r="F151" s="129"/>
      <c r="G151" s="35"/>
      <c r="H151" s="35"/>
      <c r="I151" s="35"/>
    </row>
    <row r="152" spans="1:9" x14ac:dyDescent="0.25">
      <c r="A152" s="132" t="s">
        <v>197</v>
      </c>
      <c r="B152" s="128"/>
      <c r="C152" s="128"/>
      <c r="D152" s="128"/>
      <c r="E152" s="128"/>
      <c r="F152" s="129"/>
      <c r="G152" s="35"/>
      <c r="H152" s="35"/>
      <c r="I152" s="35"/>
    </row>
    <row r="153" spans="1:9" x14ac:dyDescent="0.25">
      <c r="A153" s="132" t="s">
        <v>198</v>
      </c>
      <c r="B153" s="128"/>
      <c r="C153" s="128"/>
      <c r="D153" s="128"/>
      <c r="E153" s="128"/>
      <c r="F153" s="129"/>
      <c r="G153" s="35"/>
      <c r="H153" s="35"/>
      <c r="I153" s="35"/>
    </row>
    <row r="154" spans="1:9" x14ac:dyDescent="0.25">
      <c r="A154" s="132" t="s">
        <v>199</v>
      </c>
      <c r="B154" s="128"/>
      <c r="C154" s="128"/>
      <c r="D154" s="128"/>
      <c r="E154" s="128"/>
      <c r="F154" s="129"/>
      <c r="G154" s="35"/>
      <c r="H154" s="35"/>
      <c r="I154" s="35"/>
    </row>
    <row r="155" spans="1:9" x14ac:dyDescent="0.25">
      <c r="A155" s="132" t="s">
        <v>200</v>
      </c>
      <c r="B155" s="128"/>
      <c r="C155" s="128"/>
      <c r="D155" s="128"/>
      <c r="E155" s="128"/>
      <c r="F155" s="129"/>
      <c r="G155" s="35"/>
      <c r="H155" s="35"/>
      <c r="I155" s="35"/>
    </row>
    <row r="156" spans="1:9" x14ac:dyDescent="0.25">
      <c r="A156" s="132" t="s">
        <v>201</v>
      </c>
      <c r="B156" s="128"/>
      <c r="C156" s="128"/>
      <c r="D156" s="128"/>
      <c r="E156" s="128"/>
      <c r="F156" s="129"/>
      <c r="G156" s="35"/>
      <c r="H156" s="35"/>
      <c r="I156" s="35"/>
    </row>
    <row r="157" spans="1:9" x14ac:dyDescent="0.25">
      <c r="A157" s="132" t="s">
        <v>202</v>
      </c>
      <c r="B157" s="128"/>
      <c r="C157" s="128"/>
      <c r="D157" s="128"/>
      <c r="E157" s="128"/>
      <c r="F157" s="129"/>
      <c r="G157" s="35"/>
      <c r="H157" s="35"/>
      <c r="I157" s="35"/>
    </row>
    <row r="158" spans="1:9" x14ac:dyDescent="0.25">
      <c r="A158" s="132" t="s">
        <v>203</v>
      </c>
      <c r="B158" s="128"/>
      <c r="C158" s="128"/>
      <c r="D158" s="128"/>
      <c r="E158" s="128"/>
      <c r="F158" s="129"/>
      <c r="G158" s="35"/>
      <c r="H158" s="35"/>
      <c r="I158" s="35"/>
    </row>
    <row r="159" spans="1:9" x14ac:dyDescent="0.25">
      <c r="A159" s="132" t="s">
        <v>204</v>
      </c>
      <c r="B159" s="128"/>
      <c r="C159" s="128"/>
      <c r="D159" s="128"/>
      <c r="E159" s="128"/>
      <c r="F159" s="129"/>
      <c r="G159" s="35"/>
      <c r="H159" s="35"/>
      <c r="I159" s="35"/>
    </row>
    <row r="160" spans="1:9" x14ac:dyDescent="0.25">
      <c r="A160" s="132" t="s">
        <v>205</v>
      </c>
      <c r="B160" s="128"/>
      <c r="C160" s="128"/>
      <c r="D160" s="128"/>
      <c r="E160" s="128"/>
      <c r="F160" s="129"/>
      <c r="G160" s="35"/>
      <c r="H160" s="35"/>
      <c r="I160" s="35"/>
    </row>
    <row r="161" spans="1:9" x14ac:dyDescent="0.25">
      <c r="A161" s="132" t="s">
        <v>206</v>
      </c>
      <c r="B161" s="128"/>
      <c r="C161" s="128"/>
      <c r="D161" s="128"/>
      <c r="E161" s="128"/>
      <c r="F161" s="129"/>
      <c r="G161" s="35"/>
      <c r="H161" s="35"/>
      <c r="I161" s="35"/>
    </row>
    <row r="162" spans="1:9" x14ac:dyDescent="0.25">
      <c r="A162" s="132" t="s">
        <v>207</v>
      </c>
      <c r="B162" s="128"/>
      <c r="C162" s="128"/>
      <c r="D162" s="128"/>
      <c r="E162" s="128"/>
      <c r="F162" s="129"/>
      <c r="G162" s="35"/>
      <c r="H162" s="35"/>
      <c r="I162" s="35"/>
    </row>
    <row r="163" spans="1:9" x14ac:dyDescent="0.25">
      <c r="A163" s="132" t="s">
        <v>208</v>
      </c>
      <c r="B163" s="128"/>
      <c r="C163" s="128"/>
      <c r="D163" s="128"/>
      <c r="E163" s="128"/>
      <c r="F163" s="129"/>
      <c r="G163" s="35"/>
      <c r="H163" s="35"/>
      <c r="I163" s="35"/>
    </row>
    <row r="164" spans="1:9" x14ac:dyDescent="0.25">
      <c r="A164" s="132" t="s">
        <v>209</v>
      </c>
      <c r="B164" s="128"/>
      <c r="C164" s="128"/>
      <c r="D164" s="128"/>
      <c r="E164" s="128"/>
      <c r="F164" s="129"/>
      <c r="G164" s="35"/>
      <c r="H164" s="35"/>
      <c r="I164" s="35"/>
    </row>
    <row r="165" spans="1:9" x14ac:dyDescent="0.25">
      <c r="A165" s="132" t="s">
        <v>210</v>
      </c>
      <c r="B165" s="128"/>
      <c r="C165" s="128"/>
      <c r="D165" s="128"/>
      <c r="E165" s="128"/>
      <c r="F165" s="129"/>
      <c r="G165" s="35"/>
      <c r="H165" s="35"/>
      <c r="I165" s="35"/>
    </row>
    <row r="166" spans="1:9" x14ac:dyDescent="0.25">
      <c r="A166" s="132" t="s">
        <v>211</v>
      </c>
      <c r="B166" s="128"/>
      <c r="C166" s="128"/>
      <c r="D166" s="128"/>
      <c r="E166" s="128"/>
      <c r="F166" s="129"/>
      <c r="G166" s="35"/>
      <c r="H166" s="35"/>
      <c r="I166" s="35"/>
    </row>
    <row r="167" spans="1:9" x14ac:dyDescent="0.25">
      <c r="A167" s="132" t="s">
        <v>212</v>
      </c>
      <c r="B167" s="128"/>
      <c r="C167" s="128"/>
      <c r="D167" s="128"/>
      <c r="E167" s="128"/>
      <c r="F167" s="129"/>
      <c r="G167" s="35"/>
      <c r="H167" s="35"/>
      <c r="I167" s="35"/>
    </row>
    <row r="168" spans="1:9" x14ac:dyDescent="0.25">
      <c r="A168" s="132" t="s">
        <v>213</v>
      </c>
      <c r="B168" s="128"/>
      <c r="C168" s="128"/>
      <c r="D168" s="128"/>
      <c r="E168" s="128"/>
      <c r="F168" s="12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0" spans="1:9" x14ac:dyDescent="0.25">
      <c r="A170" s="56" t="s">
        <v>321</v>
      </c>
    </row>
    <row r="171" spans="1:9" x14ac:dyDescent="0.25">
      <c r="A171" t="s">
        <v>322</v>
      </c>
    </row>
    <row r="175" spans="1:9" x14ac:dyDescent="0.25">
      <c r="A175" s="39" t="s">
        <v>323</v>
      </c>
    </row>
    <row r="176" spans="1:9" x14ac:dyDescent="0.25">
      <c r="A176" s="40" t="s">
        <v>10</v>
      </c>
    </row>
    <row r="177" spans="1:1" x14ac:dyDescent="0.25">
      <c r="A177" s="39" t="s">
        <v>235</v>
      </c>
    </row>
  </sheetData>
  <mergeCells count="83">
    <mergeCell ref="A100:F100"/>
    <mergeCell ref="B4:J4"/>
    <mergeCell ref="A5:J5"/>
    <mergeCell ref="A28:I28"/>
    <mergeCell ref="A42:I42"/>
    <mergeCell ref="A93:F93"/>
    <mergeCell ref="A94:F94"/>
    <mergeCell ref="A95:F95"/>
    <mergeCell ref="A96:F96"/>
    <mergeCell ref="A97:F97"/>
    <mergeCell ref="A98:F98"/>
    <mergeCell ref="A99:F99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60:F160"/>
    <mergeCell ref="A149:F149"/>
    <mergeCell ref="A150:F150"/>
    <mergeCell ref="A151:F151"/>
    <mergeCell ref="A152:F152"/>
    <mergeCell ref="A153:F153"/>
    <mergeCell ref="A154:F154"/>
    <mergeCell ref="A167:F167"/>
    <mergeCell ref="A168:F168"/>
    <mergeCell ref="A1:J1"/>
    <mergeCell ref="A2:J2"/>
    <mergeCell ref="A3:J3"/>
    <mergeCell ref="A161:F161"/>
    <mergeCell ref="A162:F162"/>
    <mergeCell ref="A163:F163"/>
    <mergeCell ref="A164:F164"/>
    <mergeCell ref="A165:F165"/>
    <mergeCell ref="A166:F166"/>
    <mergeCell ref="A155:F155"/>
    <mergeCell ref="A156:F156"/>
    <mergeCell ref="A157:F157"/>
    <mergeCell ref="A158:F158"/>
    <mergeCell ref="A159:F159"/>
  </mergeCells>
  <dataValidations count="4">
    <dataValidation type="list" allowBlank="1" sqref="B7:B13" xr:uid="{CADC13E3-7A1B-4BD4-9E4D-3C884709B0BF}">
      <formula1>"DAS,DAS-1,DAS-2,DAS-3,DAS-4,DAS-5,CAA-1,CAA-2,CAA-3,CAA-4,CAA-5"</formula1>
    </dataValidation>
    <dataValidation type="list" allowBlank="1" sqref="B30:B33" xr:uid="{69675B22-7246-48E6-9999-0476D6A0FFAD}">
      <formula1>"FDA,FDA-1,FDA-2,FDA-3,FDA-4"</formula1>
    </dataValidation>
    <dataValidation type="list" allowBlank="1" sqref="B44:B80" xr:uid="{F5D34200-28EF-4A2B-91A0-D74700FF8D5F}">
      <formula1>"FGS-1,FGS-2,FGS-3,FGA-1,FGA-2,FGA-3"</formula1>
    </dataValidation>
    <dataValidation type="list" allowBlank="1" sqref="D44:D80 D30:D33 D7:D13" xr:uid="{EDE2F6E6-17E9-450C-902A-FCCD4FB57260}">
      <formula1>"AGP,CLH,CLT,COM,CTD,CTI,DES,DISP,ELE,ESG,EST,EXM,EXQ,EXR,FRQ,REV,VAGO"</formula1>
    </dataValidation>
  </dataValidation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C17C-9963-4DE0-8988-679F731BD38A}">
  <dimension ref="A1:AA182"/>
  <sheetViews>
    <sheetView workbookViewId="0">
      <selection sqref="A1:J1"/>
    </sheetView>
  </sheetViews>
  <sheetFormatPr defaultRowHeight="15" x14ac:dyDescent="0.25"/>
  <cols>
    <col min="1" max="1" width="80.28515625" customWidth="1"/>
    <col min="2" max="2" width="9" customWidth="1"/>
    <col min="3" max="3" width="19" customWidth="1"/>
    <col min="6" max="6" width="91.7109375" customWidth="1"/>
    <col min="7" max="7" width="15.7109375" customWidth="1"/>
    <col min="8" max="8" width="13.5703125" customWidth="1"/>
    <col min="9" max="9" width="17.85546875" customWidth="1"/>
    <col min="10" max="10" width="16" customWidth="1"/>
  </cols>
  <sheetData>
    <row r="1" spans="1:27" ht="21" x14ac:dyDescent="0.35">
      <c r="A1" s="145" t="s">
        <v>369</v>
      </c>
      <c r="B1" s="146"/>
      <c r="C1" s="146"/>
      <c r="D1" s="146"/>
      <c r="E1" s="146"/>
      <c r="F1" s="146"/>
      <c r="G1" s="146"/>
      <c r="H1" s="146"/>
      <c r="I1" s="146"/>
      <c r="J1" s="146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x14ac:dyDescent="0.25">
      <c r="A3" s="60">
        <v>45153</v>
      </c>
      <c r="B3" s="147" t="s">
        <v>11</v>
      </c>
      <c r="C3" s="128"/>
      <c r="D3" s="128"/>
      <c r="E3" s="128"/>
      <c r="F3" s="128"/>
      <c r="G3" s="128"/>
      <c r="H3" s="128"/>
      <c r="I3" s="128"/>
      <c r="J3" s="129"/>
    </row>
    <row r="4" spans="1:27" x14ac:dyDescent="0.25">
      <c r="A4" s="127" t="s">
        <v>12</v>
      </c>
      <c r="B4" s="128"/>
      <c r="C4" s="128"/>
      <c r="D4" s="128"/>
      <c r="E4" s="128"/>
      <c r="F4" s="128"/>
      <c r="G4" s="128"/>
      <c r="H4" s="128"/>
      <c r="I4" s="128"/>
      <c r="J4" s="129"/>
    </row>
    <row r="5" spans="1:27" ht="45" x14ac:dyDescent="0.25">
      <c r="A5" s="3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3" t="s">
        <v>18</v>
      </c>
      <c r="G5" s="4" t="s">
        <v>19</v>
      </c>
      <c r="H5" s="4" t="s">
        <v>20</v>
      </c>
      <c r="I5" s="4" t="s">
        <v>21</v>
      </c>
      <c r="J5" s="4" t="s">
        <v>281</v>
      </c>
    </row>
    <row r="6" spans="1:27" x14ac:dyDescent="0.25">
      <c r="A6" s="11" t="s">
        <v>282</v>
      </c>
      <c r="B6" s="5" t="s">
        <v>0</v>
      </c>
      <c r="C6" s="6" t="s">
        <v>283</v>
      </c>
      <c r="D6" s="6" t="s">
        <v>24</v>
      </c>
      <c r="E6" s="49">
        <v>1</v>
      </c>
      <c r="F6" s="50" t="s">
        <v>284</v>
      </c>
      <c r="G6" s="51">
        <v>0</v>
      </c>
      <c r="H6" s="51">
        <v>8479.33</v>
      </c>
      <c r="I6" s="51">
        <v>9360</v>
      </c>
      <c r="J6" s="52">
        <v>17839.330000000002</v>
      </c>
    </row>
    <row r="7" spans="1:27" x14ac:dyDescent="0.25">
      <c r="A7" s="11" t="s">
        <v>285</v>
      </c>
      <c r="B7" s="5" t="s">
        <v>2</v>
      </c>
      <c r="C7" s="6" t="s">
        <v>27</v>
      </c>
      <c r="D7" s="6" t="s">
        <v>28</v>
      </c>
      <c r="E7" s="49">
        <v>1</v>
      </c>
      <c r="F7" s="50" t="s">
        <v>308</v>
      </c>
      <c r="G7" s="51">
        <v>0</v>
      </c>
      <c r="H7" s="51">
        <v>1079.06</v>
      </c>
      <c r="I7" s="51">
        <v>4316.21</v>
      </c>
      <c r="J7" s="52">
        <v>5395.27</v>
      </c>
    </row>
    <row r="8" spans="1:27" x14ac:dyDescent="0.25">
      <c r="A8" s="11" t="s">
        <v>38</v>
      </c>
      <c r="B8" s="6" t="s">
        <v>2</v>
      </c>
      <c r="C8" s="6" t="s">
        <v>39</v>
      </c>
      <c r="D8" s="6" t="s">
        <v>28</v>
      </c>
      <c r="E8" s="49">
        <v>1</v>
      </c>
      <c r="F8" s="50" t="s">
        <v>309</v>
      </c>
      <c r="G8" s="51">
        <v>0</v>
      </c>
      <c r="H8" s="51">
        <v>1079.06</v>
      </c>
      <c r="I8" s="51">
        <v>4316.21</v>
      </c>
      <c r="J8" s="52">
        <v>5395.27</v>
      </c>
    </row>
    <row r="9" spans="1:27" x14ac:dyDescent="0.25">
      <c r="A9" s="11" t="s">
        <v>288</v>
      </c>
      <c r="B9" s="5" t="s">
        <v>8</v>
      </c>
      <c r="C9" s="6" t="s">
        <v>37</v>
      </c>
      <c r="D9" s="6" t="s">
        <v>28</v>
      </c>
      <c r="E9" s="49">
        <v>1</v>
      </c>
      <c r="F9" s="50" t="s">
        <v>310</v>
      </c>
      <c r="G9" s="51">
        <v>0</v>
      </c>
      <c r="H9" s="51">
        <v>700.75</v>
      </c>
      <c r="I9" s="51">
        <v>3083.01</v>
      </c>
      <c r="J9" s="52">
        <v>3783.76</v>
      </c>
    </row>
    <row r="10" spans="1:27" x14ac:dyDescent="0.25">
      <c r="A10" s="11" t="s">
        <v>290</v>
      </c>
      <c r="B10" s="5" t="s">
        <v>8</v>
      </c>
      <c r="C10" s="6" t="s">
        <v>35</v>
      </c>
      <c r="D10" s="6" t="s">
        <v>28</v>
      </c>
      <c r="E10" s="49">
        <v>1</v>
      </c>
      <c r="F10" s="50" t="s">
        <v>311</v>
      </c>
      <c r="G10" s="51">
        <v>0</v>
      </c>
      <c r="H10" s="51">
        <v>700.75</v>
      </c>
      <c r="I10" s="51">
        <v>3083.01</v>
      </c>
      <c r="J10" s="52">
        <v>3783.76</v>
      </c>
    </row>
    <row r="11" spans="1:27" x14ac:dyDescent="0.25">
      <c r="A11" s="11" t="s">
        <v>268</v>
      </c>
      <c r="B11" s="5" t="s">
        <v>9</v>
      </c>
      <c r="C11" s="6" t="s">
        <v>30</v>
      </c>
      <c r="D11" s="6" t="s">
        <v>28</v>
      </c>
      <c r="E11" s="49">
        <v>1</v>
      </c>
      <c r="F11" s="50" t="s">
        <v>312</v>
      </c>
      <c r="G11" s="51">
        <v>0</v>
      </c>
      <c r="H11" s="51">
        <v>500.99</v>
      </c>
      <c r="I11" s="51">
        <v>2003.96</v>
      </c>
      <c r="J11" s="52">
        <v>2504.9499999999998</v>
      </c>
    </row>
    <row r="12" spans="1:27" x14ac:dyDescent="0.25">
      <c r="A12" s="11" t="s">
        <v>31</v>
      </c>
      <c r="B12" s="5" t="s">
        <v>32</v>
      </c>
      <c r="C12" s="6" t="s">
        <v>33</v>
      </c>
      <c r="D12" s="6" t="s">
        <v>28</v>
      </c>
      <c r="E12" s="49">
        <v>1</v>
      </c>
      <c r="F12" s="50" t="s">
        <v>313</v>
      </c>
      <c r="G12" s="51">
        <v>0</v>
      </c>
      <c r="H12" s="51">
        <v>308.3</v>
      </c>
      <c r="I12" s="51">
        <v>1233.21</v>
      </c>
      <c r="J12" s="52">
        <v>1541.51</v>
      </c>
    </row>
    <row r="13" spans="1:27" ht="45" x14ac:dyDescent="0.25">
      <c r="A13" s="12" t="s">
        <v>40</v>
      </c>
      <c r="B13" s="12" t="s">
        <v>41</v>
      </c>
      <c r="C13" s="13" t="s">
        <v>42</v>
      </c>
      <c r="D13" s="13" t="s">
        <v>43</v>
      </c>
      <c r="E13" s="13" t="s">
        <v>44</v>
      </c>
      <c r="F13" s="53"/>
      <c r="G13" s="13" t="s">
        <v>45</v>
      </c>
      <c r="H13" s="13" t="s">
        <v>46</v>
      </c>
      <c r="I13" s="13" t="s">
        <v>47</v>
      </c>
    </row>
    <row r="14" spans="1:27" x14ac:dyDescent="0.25">
      <c r="A14" s="15" t="s">
        <v>48</v>
      </c>
      <c r="B14" s="7" t="s">
        <v>49</v>
      </c>
      <c r="C14" s="16">
        <f ca="1">SUMIFS($E$12:$E$15,$B$12:$B$15,"DAS",$D$12:$D$15,"&lt;&gt;VAGO")</f>
        <v>0</v>
      </c>
      <c r="D14" s="16">
        <f ca="1">SUMIFS($E$12:$E$15,$B$12:$B$15,"DAS",$D$12:$D$15,"VAGO")</f>
        <v>0</v>
      </c>
      <c r="E14" s="16">
        <f ca="1">C14+D14</f>
        <v>0</v>
      </c>
      <c r="F14" s="17"/>
      <c r="G14" s="18">
        <f ca="1">SUMIF($B$12:$B$15,"DAS",$G$12:$G$15)</f>
        <v>0</v>
      </c>
      <c r="H14" s="18">
        <f ca="1">SUMIF($B$12:$B$15,"DAS",$H$12:$H$15)</f>
        <v>0</v>
      </c>
      <c r="I14" s="18">
        <f ca="1">SUMIF($B$12:$B$15,"DAS",$I$12:$I$15)</f>
        <v>0</v>
      </c>
    </row>
    <row r="15" spans="1:27" x14ac:dyDescent="0.25">
      <c r="A15" s="15" t="s">
        <v>50</v>
      </c>
      <c r="B15" s="7" t="s">
        <v>0</v>
      </c>
      <c r="C15" s="16">
        <v>1</v>
      </c>
      <c r="D15" s="16">
        <f ca="1">SUMIFS($E$12:$E$15,$B$12:$B$15,"DAS-1",$D$12:$D$15,"VAGO")</f>
        <v>0</v>
      </c>
      <c r="E15" s="16">
        <f ca="1">C15+D15</f>
        <v>1</v>
      </c>
      <c r="F15" s="20"/>
      <c r="G15" s="18">
        <f ca="1">SUMIF($B$12:$B$15,"DAS-1",$G$12:$G$15)</f>
        <v>0</v>
      </c>
      <c r="H15" s="55">
        <v>8479.33</v>
      </c>
      <c r="I15" s="55">
        <v>9360</v>
      </c>
    </row>
    <row r="16" spans="1:27" x14ac:dyDescent="0.25">
      <c r="A16" s="15" t="s">
        <v>51</v>
      </c>
      <c r="B16" s="7" t="s">
        <v>52</v>
      </c>
      <c r="C16" s="16">
        <f>SUMIFS($E$12:$E$15,$B$12:$B$15,"DAS-2",$D$12:$D$15,"&lt;&gt;VAGO")</f>
        <v>0</v>
      </c>
      <c r="D16" s="16">
        <v>0</v>
      </c>
      <c r="E16" s="16">
        <f>C16+D16</f>
        <v>0</v>
      </c>
      <c r="F16" s="20"/>
      <c r="G16" s="18">
        <f>SUMIF($B$12:$B$15,"DAS-2",$G$12:$G$15)</f>
        <v>0</v>
      </c>
      <c r="H16" s="18">
        <f>SUMIF($B$12:$B$15,"DAS-2",$H$12:$H$15)</f>
        <v>0</v>
      </c>
      <c r="I16" s="18">
        <f>SUMIF($B$12:$B$15,"DAS-2",$I$12:$I$15)</f>
        <v>0</v>
      </c>
    </row>
    <row r="17" spans="1:9" x14ac:dyDescent="0.25">
      <c r="A17" s="15" t="s">
        <v>53</v>
      </c>
      <c r="B17" s="7" t="s">
        <v>54</v>
      </c>
      <c r="C17" s="16">
        <f>SUMIFS($E$12:$E$15,$B$12:$B$15,"DAS-3",$D$12:$D$15,"&lt;&gt;VAGO")</f>
        <v>0</v>
      </c>
      <c r="D17" s="16">
        <f>SUMIFS($E$12:$E$15,$B$12:$B$15,"DAS-3",$D$12:$D$15,"VAGO")</f>
        <v>0</v>
      </c>
      <c r="E17" s="16">
        <f>C17+D17</f>
        <v>0</v>
      </c>
      <c r="F17" s="20"/>
      <c r="G17" s="18">
        <f>SUMIF($B$12:$B$15,"DAS-3",$G$12:$G$15)</f>
        <v>0</v>
      </c>
      <c r="H17" s="18">
        <f>SUMIF($B$12:$B$15,"DAS-3",$H$12:$H$15)</f>
        <v>0</v>
      </c>
      <c r="I17" s="18">
        <f>SUMIF($B$12:$B$15,"DAS-3",$I$12:$I$15)</f>
        <v>0</v>
      </c>
    </row>
    <row r="18" spans="1:9" x14ac:dyDescent="0.25">
      <c r="A18" s="21" t="s">
        <v>55</v>
      </c>
      <c r="B18" s="7" t="s">
        <v>56</v>
      </c>
      <c r="C18" s="16">
        <f>SUMIFS($E$12:$E$15,$B$12:$B$15,"DAS-4",$D$12:$D$15,"&lt;&gt;VAGO")</f>
        <v>0</v>
      </c>
      <c r="D18" s="16">
        <f>SUMIFS($E$12:$E$15,$B$12:$B$15,"DAS-4",$D$12:$D$15,"VAGO")</f>
        <v>0</v>
      </c>
      <c r="E18" s="16">
        <f>C18+D18</f>
        <v>0</v>
      </c>
      <c r="F18" s="22"/>
      <c r="G18" s="18">
        <f>SUMIF($B$12:$B$15,"DAS-4",$G$12:$G$15)</f>
        <v>0</v>
      </c>
      <c r="H18" s="18">
        <f>SUMIF($B$12:$B$15,"DAS-4",$H$12:$H$15)</f>
        <v>0</v>
      </c>
      <c r="I18" s="18">
        <f>SUMIF($B$12:$B$15,"DAS-4",$I$12:$I$15)</f>
        <v>0</v>
      </c>
    </row>
    <row r="19" spans="1:9" x14ac:dyDescent="0.25">
      <c r="A19" s="21" t="s">
        <v>57</v>
      </c>
      <c r="B19" s="7" t="s">
        <v>2</v>
      </c>
      <c r="C19" s="16">
        <v>2</v>
      </c>
      <c r="D19" s="16">
        <v>0</v>
      </c>
      <c r="E19" s="16">
        <v>2</v>
      </c>
      <c r="F19" s="22"/>
      <c r="G19" s="18">
        <f>SUMIF($B$12:$B$15,"DAS-5",$G$12:$G$15)</f>
        <v>0</v>
      </c>
      <c r="H19" s="55">
        <v>2079.12</v>
      </c>
      <c r="I19" s="55">
        <v>8632.42</v>
      </c>
    </row>
    <row r="20" spans="1:9" x14ac:dyDescent="0.25">
      <c r="A20" s="21" t="s">
        <v>58</v>
      </c>
      <c r="B20" s="7" t="s">
        <v>59</v>
      </c>
      <c r="C20" s="16">
        <f>SUMIFS($E$12:$E$15,$B$12:$B$15,"CAA-1",$D$12:$D$15,"&lt;&gt;VAGO")</f>
        <v>0</v>
      </c>
      <c r="D20" s="16">
        <f>SUMIFS($E$12:$E$15,$B$12:$B$15,"CAA-1",$D$12:$D$15,"VAGO")</f>
        <v>0</v>
      </c>
      <c r="E20" s="16">
        <f>C20+D20</f>
        <v>0</v>
      </c>
      <c r="F20" s="22"/>
      <c r="G20" s="18">
        <f>SUMIF($B$12:$B$15,"CAA-1",$G$12:$G$15)</f>
        <v>0</v>
      </c>
      <c r="H20" s="18">
        <f>SUMIF($B$12:$B$15,"CAA-1",$H$12:$H$15)</f>
        <v>0</v>
      </c>
      <c r="I20" s="18">
        <f>SUMIF($B$12:$B$15,"CAA-1",$I$12:$I$15)</f>
        <v>0</v>
      </c>
    </row>
    <row r="21" spans="1:9" x14ac:dyDescent="0.25">
      <c r="A21" s="21" t="s">
        <v>60</v>
      </c>
      <c r="B21" s="7" t="s">
        <v>8</v>
      </c>
      <c r="C21" s="16">
        <v>2</v>
      </c>
      <c r="D21" s="16">
        <v>0</v>
      </c>
      <c r="E21" s="16">
        <v>2</v>
      </c>
      <c r="F21" s="22"/>
      <c r="G21" s="18">
        <f>SUMIF($B$12:$B$15,"CAA-2",$G$12:$G$15)</f>
        <v>0</v>
      </c>
      <c r="H21" s="55">
        <v>1401.5</v>
      </c>
      <c r="I21" s="55">
        <v>6166.02</v>
      </c>
    </row>
    <row r="22" spans="1:9" x14ac:dyDescent="0.25">
      <c r="A22" s="21" t="s">
        <v>61</v>
      </c>
      <c r="B22" s="7" t="s">
        <v>9</v>
      </c>
      <c r="C22" s="16">
        <v>1</v>
      </c>
      <c r="D22" s="16">
        <v>0</v>
      </c>
      <c r="E22" s="16">
        <f>C22+D22</f>
        <v>1</v>
      </c>
      <c r="F22" s="20" t="s">
        <v>269</v>
      </c>
      <c r="G22" s="18">
        <f>SUMIF($B$12:$B$15,"CAA-3",$G$12:$G$15)</f>
        <v>0</v>
      </c>
      <c r="H22" s="55">
        <v>500.99</v>
      </c>
      <c r="I22" s="55">
        <v>2003.96</v>
      </c>
    </row>
    <row r="23" spans="1:9" x14ac:dyDescent="0.25">
      <c r="A23" s="21" t="s">
        <v>62</v>
      </c>
      <c r="B23" s="7" t="s">
        <v>32</v>
      </c>
      <c r="C23" s="16">
        <v>1</v>
      </c>
      <c r="D23" s="16">
        <v>0</v>
      </c>
      <c r="E23" s="16">
        <f>C23+D23</f>
        <v>1</v>
      </c>
      <c r="F23" s="20"/>
      <c r="G23" s="18">
        <f>SUMIF($B$12:$B$15,"CAA-4",$G$12:$G$15)</f>
        <v>0</v>
      </c>
      <c r="H23" s="18">
        <f>SUMIF($B$12:$B$15,"CAA-4",$H$12:$H$15)</f>
        <v>308.3</v>
      </c>
      <c r="I23" s="18">
        <f>SUMIF($B$12:$B$15,"CAA-4",$I$12:$I$15)</f>
        <v>1233.21</v>
      </c>
    </row>
    <row r="24" spans="1:9" x14ac:dyDescent="0.25">
      <c r="A24" s="21" t="s">
        <v>63</v>
      </c>
      <c r="B24" s="7" t="s">
        <v>64</v>
      </c>
      <c r="C24" s="16">
        <f>SUMIFS($E$12:$E$15,$B$12:$B$15,"CAA-5",$D$12:$D$15,"&lt;&gt;VAGO")</f>
        <v>0</v>
      </c>
      <c r="D24" s="16">
        <f>SUMIFS($E$12:$E$15,$B$12:$B$15,"CAA-5",$D$12:$D$15,"VAGO")</f>
        <v>0</v>
      </c>
      <c r="E24" s="16">
        <f>C24+D24</f>
        <v>0</v>
      </c>
      <c r="F24" s="20"/>
      <c r="G24" s="18">
        <f>SUMIF($B$12:$B$15,"CAA-5",$G$12:$G$15)</f>
        <v>0</v>
      </c>
      <c r="H24" s="18">
        <f>SUMIF($B$12:$B$15,"CAA-5",$H$12:$H$15)</f>
        <v>0</v>
      </c>
      <c r="I24" s="18">
        <f>SUMIF($B$12:$B$15,"CAA-5",$I$12:$I$15)</f>
        <v>0</v>
      </c>
    </row>
    <row r="25" spans="1:9" x14ac:dyDescent="0.25">
      <c r="A25" s="12" t="s">
        <v>65</v>
      </c>
      <c r="B25" s="14"/>
      <c r="C25" s="13">
        <v>7</v>
      </c>
      <c r="D25" s="13">
        <v>0</v>
      </c>
      <c r="E25" s="13">
        <f ca="1">SUM(E14:E24)</f>
        <v>7</v>
      </c>
      <c r="F25" s="14"/>
      <c r="G25" s="23">
        <f ca="1">SUM(G14:G24)</f>
        <v>0</v>
      </c>
      <c r="H25" s="23">
        <v>12779.24</v>
      </c>
      <c r="I25" s="23">
        <v>27895.61</v>
      </c>
    </row>
    <row r="26" spans="1:9" x14ac:dyDescent="0.25">
      <c r="A26" s="19"/>
      <c r="B26" s="19"/>
      <c r="C26" s="19"/>
      <c r="D26" s="19"/>
      <c r="E26" s="19"/>
      <c r="F26" s="19"/>
      <c r="G26" s="19"/>
      <c r="H26" s="10"/>
      <c r="I26" s="10"/>
    </row>
    <row r="27" spans="1:9" x14ac:dyDescent="0.25">
      <c r="A27" s="127" t="s">
        <v>66</v>
      </c>
      <c r="B27" s="128"/>
      <c r="C27" s="128"/>
      <c r="D27" s="128"/>
      <c r="E27" s="128"/>
      <c r="F27" s="128"/>
      <c r="G27" s="128"/>
      <c r="H27" s="128"/>
      <c r="I27" s="129"/>
    </row>
    <row r="28" spans="1:9" ht="45" x14ac:dyDescent="0.25">
      <c r="A28" s="4" t="s">
        <v>67</v>
      </c>
      <c r="B28" s="4" t="s">
        <v>68</v>
      </c>
      <c r="C28" s="4" t="s">
        <v>69</v>
      </c>
      <c r="D28" s="4" t="s">
        <v>70</v>
      </c>
      <c r="E28" s="4" t="s">
        <v>71</v>
      </c>
      <c r="F28" s="4" t="s">
        <v>72</v>
      </c>
      <c r="G28" s="4" t="s">
        <v>73</v>
      </c>
      <c r="H28" s="4" t="s">
        <v>74</v>
      </c>
      <c r="I28" s="4" t="s">
        <v>75</v>
      </c>
    </row>
    <row r="29" spans="1:9" x14ac:dyDescent="0.25">
      <c r="A29" s="33" t="s">
        <v>81</v>
      </c>
      <c r="B29" s="26" t="s">
        <v>3</v>
      </c>
      <c r="C29" s="6" t="s">
        <v>35</v>
      </c>
      <c r="D29" s="6" t="s">
        <v>117</v>
      </c>
      <c r="E29" s="7">
        <v>1</v>
      </c>
      <c r="F29" t="s">
        <v>314</v>
      </c>
      <c r="G29" s="18">
        <f ca="1">SUMIF($B$12:$B$15,"DAS",$G$12:$G$15)</f>
        <v>0</v>
      </c>
      <c r="H29" s="18">
        <v>4316.21</v>
      </c>
      <c r="I29" s="18">
        <v>4316.21</v>
      </c>
    </row>
    <row r="30" spans="1:9" x14ac:dyDescent="0.25">
      <c r="A30" s="33" t="s">
        <v>77</v>
      </c>
      <c r="B30" s="26" t="s">
        <v>3</v>
      </c>
      <c r="C30" s="6" t="s">
        <v>78</v>
      </c>
      <c r="D30" s="6" t="s">
        <v>24</v>
      </c>
      <c r="E30" s="7">
        <v>1</v>
      </c>
      <c r="F30" s="37" t="s">
        <v>295</v>
      </c>
      <c r="G30" s="8">
        <v>5404.89</v>
      </c>
      <c r="H30" s="18">
        <v>1726.48</v>
      </c>
      <c r="I30" s="18">
        <v>7131.37</v>
      </c>
    </row>
    <row r="31" spans="1:9" x14ac:dyDescent="0.25">
      <c r="A31" s="33" t="s">
        <v>79</v>
      </c>
      <c r="B31" s="26" t="s">
        <v>3</v>
      </c>
      <c r="C31" s="6" t="s">
        <v>80</v>
      </c>
      <c r="D31" s="6" t="s">
        <v>24</v>
      </c>
      <c r="E31" s="7">
        <v>1</v>
      </c>
      <c r="F31" s="33" t="s">
        <v>296</v>
      </c>
      <c r="G31" s="18">
        <v>7691</v>
      </c>
      <c r="H31" s="18">
        <v>3884.59</v>
      </c>
      <c r="I31" s="18">
        <v>11575.59</v>
      </c>
    </row>
    <row r="32" spans="1:9" ht="15" customHeight="1" x14ac:dyDescent="0.25">
      <c r="A32" s="33" t="s">
        <v>76</v>
      </c>
      <c r="B32" s="26" t="s">
        <v>1</v>
      </c>
      <c r="C32" s="6" t="s">
        <v>35</v>
      </c>
      <c r="D32" s="6" t="s">
        <v>24</v>
      </c>
      <c r="E32" s="7">
        <v>1</v>
      </c>
      <c r="F32" s="37" t="s">
        <v>297</v>
      </c>
      <c r="G32" s="18">
        <v>7691</v>
      </c>
      <c r="H32" s="18">
        <v>3083.01</v>
      </c>
      <c r="I32" s="18">
        <v>10777.01</v>
      </c>
    </row>
    <row r="33" spans="1:10" ht="45" x14ac:dyDescent="0.25">
      <c r="A33" s="12" t="s">
        <v>82</v>
      </c>
      <c r="B33" s="12" t="s">
        <v>83</v>
      </c>
      <c r="C33" s="13" t="s">
        <v>84</v>
      </c>
      <c r="D33" s="13" t="s">
        <v>85</v>
      </c>
      <c r="E33" s="13" t="s">
        <v>86</v>
      </c>
      <c r="F33" s="27"/>
      <c r="G33" s="13" t="s">
        <v>87</v>
      </c>
      <c r="H33" s="13" t="s">
        <v>88</v>
      </c>
      <c r="I33" s="13" t="s">
        <v>89</v>
      </c>
    </row>
    <row r="34" spans="1:10" x14ac:dyDescent="0.25">
      <c r="A34" s="15" t="s">
        <v>90</v>
      </c>
      <c r="B34" s="28" t="s">
        <v>91</v>
      </c>
      <c r="C34" s="16">
        <f ca="1">SUMIFS($E$29:$E$35,$B$29:$B$35,"FDA",$D$29:$D$35,"&lt;&gt;VAGO")</f>
        <v>0</v>
      </c>
      <c r="D34" s="16">
        <f ca="1">SUMIFS($E$29:$E$35,$B$29:$B$35,"FDA",$D$29:$D$35,"VAGO")</f>
        <v>0</v>
      </c>
      <c r="E34" s="16">
        <f ca="1">C34+D34</f>
        <v>0</v>
      </c>
      <c r="F34" s="17"/>
      <c r="G34" s="9">
        <f ca="1">SUMIF($B$29:$B$35,"FDA",$G$29:$G$35)</f>
        <v>0</v>
      </c>
      <c r="H34" s="9">
        <f ca="1">SUMIF($B$29:$B$35,"FDA",$H$29:$H$35)</f>
        <v>0</v>
      </c>
      <c r="I34" s="9">
        <f ca="1">SUMIF($B$29:$B$35,"FDA",$I$29:$I$35)</f>
        <v>0</v>
      </c>
    </row>
    <row r="35" spans="1:10" x14ac:dyDescent="0.25">
      <c r="A35" s="15" t="s">
        <v>92</v>
      </c>
      <c r="B35" s="28" t="s">
        <v>93</v>
      </c>
      <c r="C35" s="16">
        <f ca="1">SUMIFS($E$29:$E$35,$B$29:$B$35,"FDA-1",$D$29:$D$35,"&lt;&gt;VAGO")</f>
        <v>0</v>
      </c>
      <c r="D35" s="16">
        <f ca="1">SUMIFS($E$29:$E$35,$B$29:$B$35,"FDA-1",$D$29:$D$35,"VAGO")</f>
        <v>0</v>
      </c>
      <c r="E35" s="16">
        <f ca="1">C35+D35</f>
        <v>0</v>
      </c>
      <c r="F35" s="17"/>
      <c r="G35" s="9">
        <f ca="1">SUMIF($B$29:$B$35,"FDA-1",$G$29:$G$35)</f>
        <v>0</v>
      </c>
      <c r="H35" s="9">
        <f ca="1">SUMIF($B$29:$B$35,"FDA-1",$H$29:$H$35)</f>
        <v>0</v>
      </c>
      <c r="I35" s="9">
        <f ca="1">SUMIF($B$29:$B$35,"FDA-1",$I$29:$I$35)</f>
        <v>0</v>
      </c>
    </row>
    <row r="36" spans="1:10" x14ac:dyDescent="0.25">
      <c r="A36" s="15" t="s">
        <v>94</v>
      </c>
      <c r="B36" s="28" t="s">
        <v>95</v>
      </c>
      <c r="C36" s="16">
        <f>SUMIFS($E$29:$E$35,$B$29:$B$35,"FDA-2",$D$29:$D$35,"&lt;&gt;VAGO")</f>
        <v>0</v>
      </c>
      <c r="D36" s="16">
        <f>SUMIFS($E$29:$E$35,$B$29:$B$35,"FDA-2",$D$29:$D$35,"VAGO")</f>
        <v>0</v>
      </c>
      <c r="E36" s="16">
        <f>C36+D36</f>
        <v>0</v>
      </c>
      <c r="F36" s="20"/>
      <c r="G36" s="9">
        <f>SUMIF($B$29:$B$35,"FDA-2",$G$29:$G$35)</f>
        <v>0</v>
      </c>
      <c r="H36" s="9">
        <f>SUMIF($B$29:$B$35,"FDA-2",$H$29:$H$35)</f>
        <v>0</v>
      </c>
      <c r="I36" s="9">
        <f>SUMIF($B$29:$B$35,"FDA-2",$I$29:$I$35)</f>
        <v>0</v>
      </c>
    </row>
    <row r="37" spans="1:10" x14ac:dyDescent="0.25">
      <c r="A37" s="15" t="s">
        <v>96</v>
      </c>
      <c r="B37" s="28" t="s">
        <v>3</v>
      </c>
      <c r="C37" s="16">
        <f>SUMIFS($E$29:$E$35,$B$29:$B$35,"FDA-3",$D$29:$D$35,"&lt;&gt;VAGO")</f>
        <v>3</v>
      </c>
      <c r="D37" s="16">
        <f>SUMIFS($E$29:$E$35,$B$29:$B$35,"FDA-3",$D$29:$D$35,"VAGO")</f>
        <v>0</v>
      </c>
      <c r="E37" s="16">
        <f>C37+D37</f>
        <v>3</v>
      </c>
      <c r="F37" s="22" t="s">
        <v>317</v>
      </c>
      <c r="G37" s="9">
        <v>15382</v>
      </c>
      <c r="H37" s="9">
        <v>9927.2800000000007</v>
      </c>
      <c r="I37" s="9">
        <v>25309.279999999999</v>
      </c>
    </row>
    <row r="38" spans="1:10" x14ac:dyDescent="0.25">
      <c r="A38" s="15" t="s">
        <v>97</v>
      </c>
      <c r="B38" s="28" t="s">
        <v>1</v>
      </c>
      <c r="C38" s="16">
        <f>SUMIFS($E$29:$E$35,$B$29:$B$35,"FDA-4",$D$29:$D$35,"&lt;&gt;VAGO")</f>
        <v>1</v>
      </c>
      <c r="D38" s="16">
        <f>SUMIFS($E$29:$E$35,$B$29:$B$35,"FDA-4",$D$29:$D$35,"VAGO")</f>
        <v>0</v>
      </c>
      <c r="E38" s="16">
        <f>C38+D38</f>
        <v>1</v>
      </c>
      <c r="F38" s="20" t="s">
        <v>299</v>
      </c>
      <c r="G38" s="9">
        <f>SUMIF($B$29:$B$35,"FDA-4",$G$29:$G$35)</f>
        <v>7691</v>
      </c>
      <c r="H38" s="9">
        <f>SUMIF($B$29:$B$35,"FDA-4",$H$29:$H$35)</f>
        <v>3083.01</v>
      </c>
      <c r="I38" s="9">
        <f>SUMIF($B$29:$B$35,"FDA-4",$I$29:$I$35)</f>
        <v>10777.01</v>
      </c>
    </row>
    <row r="39" spans="1:10" ht="30" x14ac:dyDescent="0.25">
      <c r="A39" s="12" t="s">
        <v>98</v>
      </c>
      <c r="B39" s="27"/>
      <c r="C39" s="13">
        <f ca="1">SUM(C35:C38)</f>
        <v>4</v>
      </c>
      <c r="D39" s="13">
        <f ca="1">SUM(D35:D38)</f>
        <v>0</v>
      </c>
      <c r="E39" s="13">
        <f ca="1">SUM(E35:E38)</f>
        <v>4</v>
      </c>
      <c r="F39" s="27"/>
      <c r="G39" s="29">
        <v>23073</v>
      </c>
      <c r="H39" s="29">
        <v>13010.29</v>
      </c>
      <c r="I39" s="29">
        <v>36086.29</v>
      </c>
    </row>
    <row r="40" spans="1:10" x14ac:dyDescent="0.25">
      <c r="A40" s="24"/>
      <c r="B40" s="24"/>
      <c r="C40" s="24"/>
      <c r="D40" s="24"/>
      <c r="E40" s="24"/>
      <c r="F40" s="24"/>
      <c r="G40" s="24"/>
      <c r="H40" s="24"/>
      <c r="I40" s="2"/>
    </row>
    <row r="41" spans="1:10" x14ac:dyDescent="0.25">
      <c r="A41" s="127" t="s">
        <v>99</v>
      </c>
      <c r="B41" s="128"/>
      <c r="C41" s="128"/>
      <c r="D41" s="128"/>
      <c r="E41" s="128"/>
      <c r="F41" s="128"/>
      <c r="G41" s="128"/>
      <c r="H41" s="128"/>
      <c r="I41" s="129"/>
    </row>
    <row r="42" spans="1:10" ht="45" x14ac:dyDescent="0.25">
      <c r="A42" s="30" t="s">
        <v>100</v>
      </c>
      <c r="B42" s="4" t="s">
        <v>101</v>
      </c>
      <c r="C42" s="4" t="s">
        <v>102</v>
      </c>
      <c r="D42" s="4" t="s">
        <v>103</v>
      </c>
      <c r="E42" s="4" t="s">
        <v>104</v>
      </c>
      <c r="F42" s="4" t="s">
        <v>105</v>
      </c>
      <c r="G42" s="4" t="s">
        <v>106</v>
      </c>
      <c r="H42" s="4" t="s">
        <v>107</v>
      </c>
      <c r="I42" s="4" t="s">
        <v>108</v>
      </c>
    </row>
    <row r="43" spans="1:10" x14ac:dyDescent="0.25">
      <c r="A43" s="42" t="s">
        <v>270</v>
      </c>
      <c r="B43" s="43" t="s">
        <v>4</v>
      </c>
      <c r="C43" s="44"/>
      <c r="D43" s="44" t="s">
        <v>24</v>
      </c>
      <c r="E43" s="45">
        <v>1</v>
      </c>
      <c r="F43" s="46" t="s">
        <v>271</v>
      </c>
      <c r="G43" s="8">
        <v>5933.35</v>
      </c>
      <c r="H43" s="8">
        <v>1392.8</v>
      </c>
      <c r="I43" s="9">
        <f>SUM(G43:H43)</f>
        <v>7326.1500000000005</v>
      </c>
      <c r="J43" s="47"/>
    </row>
    <row r="44" spans="1:10" x14ac:dyDescent="0.25">
      <c r="A44" s="42" t="s">
        <v>272</v>
      </c>
      <c r="B44" s="43" t="s">
        <v>4</v>
      </c>
      <c r="C44" s="44"/>
      <c r="D44" s="44" t="s">
        <v>24</v>
      </c>
      <c r="E44" s="45">
        <v>1</v>
      </c>
      <c r="F44" s="33" t="s">
        <v>222</v>
      </c>
      <c r="G44" s="8">
        <v>5675.13</v>
      </c>
      <c r="H44" s="8">
        <v>1392.8</v>
      </c>
      <c r="I44" s="9">
        <v>7067.93</v>
      </c>
      <c r="J44" s="47"/>
    </row>
    <row r="45" spans="1:10" x14ac:dyDescent="0.25">
      <c r="A45" s="31" t="s">
        <v>236</v>
      </c>
      <c r="B45" s="32" t="s">
        <v>4</v>
      </c>
      <c r="C45" s="32"/>
      <c r="D45" s="6" t="s">
        <v>24</v>
      </c>
      <c r="E45" s="7">
        <v>1</v>
      </c>
      <c r="F45" s="31" t="s">
        <v>218</v>
      </c>
      <c r="G45" s="8">
        <v>8075.56</v>
      </c>
      <c r="H45" s="8">
        <v>1392.8</v>
      </c>
      <c r="I45" s="9">
        <f t="shared" ref="I45:I65" si="0">SUM(G45:H45)</f>
        <v>9468.36</v>
      </c>
    </row>
    <row r="46" spans="1:10" x14ac:dyDescent="0.25">
      <c r="A46" s="33" t="s">
        <v>237</v>
      </c>
      <c r="B46" s="32" t="s">
        <v>4</v>
      </c>
      <c r="C46" s="6"/>
      <c r="D46" s="6" t="s">
        <v>24</v>
      </c>
      <c r="E46" s="7">
        <v>1</v>
      </c>
      <c r="F46" s="33" t="s">
        <v>276</v>
      </c>
      <c r="G46" s="8">
        <v>5250.46</v>
      </c>
      <c r="H46" s="8">
        <v>1392.8</v>
      </c>
      <c r="I46" s="9">
        <f t="shared" si="0"/>
        <v>6643.26</v>
      </c>
    </row>
    <row r="47" spans="1:10" x14ac:dyDescent="0.25">
      <c r="A47" s="33" t="s">
        <v>238</v>
      </c>
      <c r="B47" s="32" t="s">
        <v>4</v>
      </c>
      <c r="C47" s="6"/>
      <c r="D47" s="6" t="s">
        <v>24</v>
      </c>
      <c r="E47" s="7">
        <v>1</v>
      </c>
      <c r="F47" s="33" t="s">
        <v>214</v>
      </c>
      <c r="G47" s="8">
        <v>8075.56</v>
      </c>
      <c r="H47" s="8">
        <v>1392.8</v>
      </c>
      <c r="I47" s="9">
        <f t="shared" si="0"/>
        <v>9468.36</v>
      </c>
    </row>
    <row r="48" spans="1:10" x14ac:dyDescent="0.25">
      <c r="A48" s="33" t="s">
        <v>239</v>
      </c>
      <c r="B48" s="32" t="s">
        <v>4</v>
      </c>
      <c r="C48" s="6"/>
      <c r="D48" s="6" t="s">
        <v>24</v>
      </c>
      <c r="E48" s="7">
        <v>1</v>
      </c>
      <c r="F48" s="33" t="s">
        <v>240</v>
      </c>
      <c r="G48" s="8">
        <v>7691</v>
      </c>
      <c r="H48" s="8">
        <v>1392.8</v>
      </c>
      <c r="I48" s="9">
        <f t="shared" si="0"/>
        <v>9083.7999999999993</v>
      </c>
    </row>
    <row r="49" spans="1:9" x14ac:dyDescent="0.25">
      <c r="A49" s="33" t="s">
        <v>241</v>
      </c>
      <c r="B49" s="32" t="s">
        <v>4</v>
      </c>
      <c r="C49" s="6"/>
      <c r="D49" s="6" t="s">
        <v>24</v>
      </c>
      <c r="E49" s="7">
        <v>1</v>
      </c>
      <c r="F49" s="33" t="s">
        <v>109</v>
      </c>
      <c r="G49" s="8">
        <v>8299.11</v>
      </c>
      <c r="H49" s="8">
        <v>1392.8</v>
      </c>
      <c r="I49" s="9">
        <f t="shared" si="0"/>
        <v>9691.91</v>
      </c>
    </row>
    <row r="50" spans="1:9" x14ac:dyDescent="0.25">
      <c r="A50" s="33" t="s">
        <v>242</v>
      </c>
      <c r="B50" s="32" t="s">
        <v>4</v>
      </c>
      <c r="C50" s="6"/>
      <c r="D50" s="6" t="s">
        <v>24</v>
      </c>
      <c r="E50" s="7">
        <v>1</v>
      </c>
      <c r="F50" s="33" t="s">
        <v>277</v>
      </c>
      <c r="G50" s="8">
        <v>4902.3900000000003</v>
      </c>
      <c r="H50" s="8">
        <v>1392.8</v>
      </c>
      <c r="I50" s="9">
        <f t="shared" si="0"/>
        <v>6295.1900000000005</v>
      </c>
    </row>
    <row r="51" spans="1:9" x14ac:dyDescent="0.25">
      <c r="A51" s="33" t="s">
        <v>243</v>
      </c>
      <c r="B51" s="32" t="s">
        <v>4</v>
      </c>
      <c r="C51" s="6"/>
      <c r="D51" s="6" t="s">
        <v>24</v>
      </c>
      <c r="E51" s="7">
        <v>1</v>
      </c>
      <c r="F51" s="33" t="s">
        <v>111</v>
      </c>
      <c r="G51" s="8">
        <v>7691</v>
      </c>
      <c r="H51" s="8">
        <v>1392.8</v>
      </c>
      <c r="I51" s="9">
        <f t="shared" si="0"/>
        <v>9083.7999999999993</v>
      </c>
    </row>
    <row r="52" spans="1:9" x14ac:dyDescent="0.25">
      <c r="A52" s="33" t="s">
        <v>244</v>
      </c>
      <c r="B52" s="32" t="s">
        <v>4</v>
      </c>
      <c r="C52" s="6"/>
      <c r="D52" s="6" t="s">
        <v>24</v>
      </c>
      <c r="E52" s="7">
        <v>1</v>
      </c>
      <c r="F52" s="33" t="s">
        <v>215</v>
      </c>
      <c r="G52" s="8">
        <v>7691</v>
      </c>
      <c r="H52" s="8">
        <v>1392.8</v>
      </c>
      <c r="I52" s="9">
        <f t="shared" si="0"/>
        <v>9083.7999999999993</v>
      </c>
    </row>
    <row r="53" spans="1:9" x14ac:dyDescent="0.25">
      <c r="A53" s="33" t="s">
        <v>245</v>
      </c>
      <c r="B53" s="32" t="s">
        <v>4</v>
      </c>
      <c r="C53" s="6"/>
      <c r="D53" s="6" t="s">
        <v>24</v>
      </c>
      <c r="E53" s="7">
        <v>1</v>
      </c>
      <c r="F53" s="33" t="s">
        <v>216</v>
      </c>
      <c r="G53" s="8">
        <v>8075.56</v>
      </c>
      <c r="H53" s="8">
        <v>1392.8</v>
      </c>
      <c r="I53" s="9">
        <f t="shared" si="0"/>
        <v>9468.36</v>
      </c>
    </row>
    <row r="54" spans="1:9" x14ac:dyDescent="0.25">
      <c r="A54" s="33" t="s">
        <v>246</v>
      </c>
      <c r="B54" s="32" t="s">
        <v>4</v>
      </c>
      <c r="C54" s="6"/>
      <c r="D54" s="6" t="s">
        <v>24</v>
      </c>
      <c r="E54" s="7">
        <v>1</v>
      </c>
      <c r="F54" s="33" t="s">
        <v>112</v>
      </c>
      <c r="G54" s="8">
        <v>8075.56</v>
      </c>
      <c r="H54" s="8">
        <v>1392.8</v>
      </c>
      <c r="I54" s="9">
        <f t="shared" si="0"/>
        <v>9468.36</v>
      </c>
    </row>
    <row r="55" spans="1:9" x14ac:dyDescent="0.25">
      <c r="A55" s="33" t="s">
        <v>247</v>
      </c>
      <c r="B55" s="32" t="s">
        <v>4</v>
      </c>
      <c r="C55" s="6"/>
      <c r="D55" s="6" t="s">
        <v>24</v>
      </c>
      <c r="E55" s="7">
        <v>1</v>
      </c>
      <c r="F55" s="33" t="s">
        <v>219</v>
      </c>
      <c r="G55" s="8">
        <v>7691</v>
      </c>
      <c r="H55" s="8">
        <v>1392.8</v>
      </c>
      <c r="I55" s="9">
        <f t="shared" si="0"/>
        <v>9083.7999999999993</v>
      </c>
    </row>
    <row r="56" spans="1:9" x14ac:dyDescent="0.25">
      <c r="A56" s="33" t="s">
        <v>248</v>
      </c>
      <c r="B56" s="32" t="s">
        <v>4</v>
      </c>
      <c r="C56" s="6"/>
      <c r="D56" s="6" t="s">
        <v>24</v>
      </c>
      <c r="E56" s="7">
        <v>1</v>
      </c>
      <c r="F56" s="33" t="s">
        <v>113</v>
      </c>
      <c r="G56" s="8">
        <v>2295.89</v>
      </c>
      <c r="H56" s="8">
        <v>1392.8</v>
      </c>
      <c r="I56" s="9">
        <f t="shared" si="0"/>
        <v>3688.6899999999996</v>
      </c>
    </row>
    <row r="57" spans="1:9" x14ac:dyDescent="0.25">
      <c r="A57" s="33" t="s">
        <v>249</v>
      </c>
      <c r="B57" s="32" t="s">
        <v>4</v>
      </c>
      <c r="C57" s="6"/>
      <c r="D57" s="6" t="s">
        <v>24</v>
      </c>
      <c r="E57" s="7">
        <v>1</v>
      </c>
      <c r="F57" s="33" t="s">
        <v>114</v>
      </c>
      <c r="G57" s="8">
        <v>5125.45</v>
      </c>
      <c r="H57" s="8">
        <v>1392.8</v>
      </c>
      <c r="I57" s="9">
        <f t="shared" si="0"/>
        <v>6518.25</v>
      </c>
    </row>
    <row r="58" spans="1:9" x14ac:dyDescent="0.25">
      <c r="A58" s="33" t="s">
        <v>250</v>
      </c>
      <c r="B58" s="32" t="s">
        <v>4</v>
      </c>
      <c r="C58" s="6"/>
      <c r="D58" s="6" t="s">
        <v>24</v>
      </c>
      <c r="E58" s="7">
        <v>1</v>
      </c>
      <c r="F58" s="33" t="s">
        <v>337</v>
      </c>
      <c r="G58" s="8">
        <v>5227.96</v>
      </c>
      <c r="H58" s="8">
        <v>1392.8</v>
      </c>
      <c r="I58" s="9">
        <f t="shared" si="0"/>
        <v>6620.76</v>
      </c>
    </row>
    <row r="59" spans="1:9" x14ac:dyDescent="0.25">
      <c r="A59" s="33" t="s">
        <v>252</v>
      </c>
      <c r="B59" s="32" t="s">
        <v>4</v>
      </c>
      <c r="C59" s="6"/>
      <c r="D59" s="6" t="s">
        <v>24</v>
      </c>
      <c r="E59" s="7">
        <v>1</v>
      </c>
      <c r="F59" s="33" t="s">
        <v>115</v>
      </c>
      <c r="G59" s="8">
        <v>5933.35</v>
      </c>
      <c r="H59" s="8">
        <v>1392.8</v>
      </c>
      <c r="I59" s="9">
        <f t="shared" si="0"/>
        <v>7326.1500000000005</v>
      </c>
    </row>
    <row r="60" spans="1:9" x14ac:dyDescent="0.25">
      <c r="A60" s="33" t="s">
        <v>253</v>
      </c>
      <c r="B60" s="32" t="s">
        <v>4</v>
      </c>
      <c r="C60" s="6"/>
      <c r="D60" s="6" t="s">
        <v>24</v>
      </c>
      <c r="E60" s="7">
        <v>1</v>
      </c>
      <c r="F60" s="33" t="s">
        <v>220</v>
      </c>
      <c r="G60" s="8">
        <v>5125.45</v>
      </c>
      <c r="H60" s="8">
        <v>1392.8</v>
      </c>
      <c r="I60" s="9">
        <f t="shared" si="0"/>
        <v>6518.25</v>
      </c>
    </row>
    <row r="61" spans="1:9" x14ac:dyDescent="0.25">
      <c r="A61" s="33" t="s">
        <v>254</v>
      </c>
      <c r="B61" s="32" t="s">
        <v>4</v>
      </c>
      <c r="C61" s="6"/>
      <c r="D61" s="6" t="s">
        <v>24</v>
      </c>
      <c r="E61" s="7">
        <v>1</v>
      </c>
      <c r="F61" s="33" t="s">
        <v>116</v>
      </c>
      <c r="G61" s="8">
        <v>5404.89</v>
      </c>
      <c r="H61" s="8">
        <v>1392.8</v>
      </c>
      <c r="I61" s="9">
        <f t="shared" si="0"/>
        <v>6797.6900000000005</v>
      </c>
    </row>
    <row r="62" spans="1:9" x14ac:dyDescent="0.25">
      <c r="A62" s="33" t="s">
        <v>255</v>
      </c>
      <c r="B62" s="32" t="s">
        <v>4</v>
      </c>
      <c r="C62" s="6"/>
      <c r="D62" s="6" t="s">
        <v>24</v>
      </c>
      <c r="E62" s="7">
        <v>1</v>
      </c>
      <c r="F62" s="33" t="s">
        <v>261</v>
      </c>
      <c r="G62" s="8">
        <v>5650.81</v>
      </c>
      <c r="H62" s="8">
        <v>1392.8</v>
      </c>
      <c r="I62" s="9">
        <f t="shared" si="0"/>
        <v>7043.6100000000006</v>
      </c>
    </row>
    <row r="63" spans="1:9" x14ac:dyDescent="0.25">
      <c r="A63" s="33" t="s">
        <v>256</v>
      </c>
      <c r="B63" s="32" t="s">
        <v>4</v>
      </c>
      <c r="C63" s="6"/>
      <c r="D63" s="6" t="s">
        <v>117</v>
      </c>
      <c r="E63" s="7">
        <v>1</v>
      </c>
      <c r="F63" s="33" t="s">
        <v>257</v>
      </c>
      <c r="G63" s="8">
        <v>0</v>
      </c>
      <c r="H63" s="8">
        <v>1392.8</v>
      </c>
      <c r="I63" s="9">
        <f t="shared" si="0"/>
        <v>1392.8</v>
      </c>
    </row>
    <row r="64" spans="1:9" x14ac:dyDescent="0.25">
      <c r="A64" s="33" t="s">
        <v>258</v>
      </c>
      <c r="B64" s="32" t="s">
        <v>4</v>
      </c>
      <c r="C64" s="6"/>
      <c r="D64" s="6" t="s">
        <v>24</v>
      </c>
      <c r="E64" s="7">
        <v>1</v>
      </c>
      <c r="F64" s="33" t="s">
        <v>232</v>
      </c>
      <c r="G64" s="8">
        <v>8075.56</v>
      </c>
      <c r="H64" s="8">
        <v>1392.8</v>
      </c>
      <c r="I64" s="9">
        <f t="shared" si="0"/>
        <v>9468.36</v>
      </c>
    </row>
    <row r="65" spans="1:9" x14ac:dyDescent="0.25">
      <c r="A65" s="33" t="s">
        <v>336</v>
      </c>
      <c r="B65" s="32" t="s">
        <v>4</v>
      </c>
      <c r="C65" s="6"/>
      <c r="D65" s="6" t="s">
        <v>24</v>
      </c>
      <c r="E65" s="7">
        <v>1</v>
      </c>
      <c r="F65" s="33" t="s">
        <v>335</v>
      </c>
      <c r="G65" s="8">
        <v>2531.2199999999998</v>
      </c>
      <c r="H65" s="8">
        <v>1392.8</v>
      </c>
      <c r="I65" s="9">
        <f t="shared" si="0"/>
        <v>3924.0199999999995</v>
      </c>
    </row>
    <row r="66" spans="1:9" ht="28.5" x14ac:dyDescent="0.25">
      <c r="A66" s="33" t="s">
        <v>259</v>
      </c>
      <c r="B66" s="32" t="s">
        <v>5</v>
      </c>
      <c r="C66" s="6"/>
      <c r="D66" s="6" t="s">
        <v>24</v>
      </c>
      <c r="E66" s="7">
        <v>1</v>
      </c>
      <c r="F66" s="54" t="s">
        <v>334</v>
      </c>
      <c r="G66" s="8" t="s">
        <v>301</v>
      </c>
      <c r="H66" s="8" t="s">
        <v>318</v>
      </c>
      <c r="I66" s="9" t="s">
        <v>303</v>
      </c>
    </row>
    <row r="67" spans="1:9" x14ac:dyDescent="0.25">
      <c r="A67" s="33" t="s">
        <v>259</v>
      </c>
      <c r="B67" s="32" t="s">
        <v>5</v>
      </c>
      <c r="C67" s="6"/>
      <c r="D67" s="6" t="s">
        <v>24</v>
      </c>
      <c r="E67" s="7">
        <v>1</v>
      </c>
      <c r="F67" s="31" t="s">
        <v>264</v>
      </c>
      <c r="G67" s="8">
        <v>5404.89</v>
      </c>
      <c r="H67" s="8">
        <v>849.76</v>
      </c>
      <c r="I67" s="9">
        <v>6254.65</v>
      </c>
    </row>
    <row r="68" spans="1:9" x14ac:dyDescent="0.25">
      <c r="A68" s="33" t="s">
        <v>259</v>
      </c>
      <c r="B68" s="32" t="s">
        <v>5</v>
      </c>
      <c r="C68" s="6"/>
      <c r="D68" s="6" t="s">
        <v>24</v>
      </c>
      <c r="E68" s="7">
        <v>1</v>
      </c>
      <c r="F68" s="33" t="s">
        <v>217</v>
      </c>
      <c r="G68" s="8">
        <v>5675.13</v>
      </c>
      <c r="H68" s="8">
        <v>849.76</v>
      </c>
      <c r="I68" s="9">
        <f t="shared" ref="I68:I80" si="1">SUM(G68:H68)</f>
        <v>6524.89</v>
      </c>
    </row>
    <row r="69" spans="1:9" x14ac:dyDescent="0.25">
      <c r="A69" s="33" t="s">
        <v>260</v>
      </c>
      <c r="B69" s="32" t="s">
        <v>6</v>
      </c>
      <c r="C69" s="6"/>
      <c r="D69" s="6"/>
      <c r="E69" s="7">
        <v>1</v>
      </c>
      <c r="F69" s="62" t="s">
        <v>333</v>
      </c>
      <c r="G69" s="8">
        <v>0</v>
      </c>
      <c r="H69" s="8">
        <v>0</v>
      </c>
      <c r="I69" s="9">
        <f t="shared" si="1"/>
        <v>0</v>
      </c>
    </row>
    <row r="70" spans="1:9" x14ac:dyDescent="0.25">
      <c r="A70" s="33" t="s">
        <v>260</v>
      </c>
      <c r="B70" s="32" t="s">
        <v>6</v>
      </c>
      <c r="C70" s="6"/>
      <c r="D70" s="6" t="s">
        <v>24</v>
      </c>
      <c r="E70" s="7">
        <v>1</v>
      </c>
      <c r="F70" s="33" t="s">
        <v>233</v>
      </c>
      <c r="G70" s="8">
        <v>5046.58</v>
      </c>
      <c r="H70" s="8">
        <v>505.81</v>
      </c>
      <c r="I70" s="9">
        <f t="shared" si="1"/>
        <v>5552.39</v>
      </c>
    </row>
    <row r="71" spans="1:9" x14ac:dyDescent="0.25">
      <c r="A71" s="33" t="s">
        <v>260</v>
      </c>
      <c r="B71" s="32" t="s">
        <v>6</v>
      </c>
      <c r="C71" s="6"/>
      <c r="D71" s="6" t="s">
        <v>117</v>
      </c>
      <c r="E71" s="7">
        <v>1</v>
      </c>
      <c r="F71" s="33" t="s">
        <v>223</v>
      </c>
      <c r="G71" s="8">
        <v>0</v>
      </c>
      <c r="H71" s="8">
        <v>505.81</v>
      </c>
      <c r="I71" s="9">
        <f t="shared" si="1"/>
        <v>505.81</v>
      </c>
    </row>
    <row r="72" spans="1:9" x14ac:dyDescent="0.25">
      <c r="A72" s="33" t="s">
        <v>260</v>
      </c>
      <c r="B72" s="32" t="s">
        <v>6</v>
      </c>
      <c r="C72" s="32"/>
      <c r="D72" s="6" t="s">
        <v>117</v>
      </c>
      <c r="E72" s="7">
        <v>1</v>
      </c>
      <c r="F72" s="37" t="s">
        <v>224</v>
      </c>
      <c r="G72" s="8">
        <v>0</v>
      </c>
      <c r="H72" s="8">
        <v>505.81</v>
      </c>
      <c r="I72" s="9">
        <f t="shared" si="1"/>
        <v>505.81</v>
      </c>
    </row>
    <row r="73" spans="1:9" x14ac:dyDescent="0.25">
      <c r="A73" s="33" t="s">
        <v>260</v>
      </c>
      <c r="B73" s="32" t="s">
        <v>6</v>
      </c>
      <c r="C73" s="32"/>
      <c r="D73" s="6" t="s">
        <v>24</v>
      </c>
      <c r="E73" s="7">
        <v>1</v>
      </c>
      <c r="F73" s="37" t="s">
        <v>304</v>
      </c>
      <c r="G73" s="8">
        <v>5763.82</v>
      </c>
      <c r="H73" s="8">
        <v>505.81</v>
      </c>
      <c r="I73" s="9">
        <f t="shared" si="1"/>
        <v>6269.63</v>
      </c>
    </row>
    <row r="74" spans="1:9" x14ac:dyDescent="0.25">
      <c r="A74" s="31" t="s">
        <v>262</v>
      </c>
      <c r="B74" s="32" t="s">
        <v>7</v>
      </c>
      <c r="C74" s="32"/>
      <c r="D74" s="6" t="s">
        <v>24</v>
      </c>
      <c r="E74" s="7">
        <v>1</v>
      </c>
      <c r="F74" s="31" t="s">
        <v>229</v>
      </c>
      <c r="G74" s="8">
        <v>7691</v>
      </c>
      <c r="H74" s="8">
        <v>465.35</v>
      </c>
      <c r="I74" s="9">
        <f t="shared" si="1"/>
        <v>8156.35</v>
      </c>
    </row>
    <row r="75" spans="1:9" x14ac:dyDescent="0.25">
      <c r="A75" s="31" t="s">
        <v>262</v>
      </c>
      <c r="B75" s="32" t="s">
        <v>7</v>
      </c>
      <c r="C75" s="32"/>
      <c r="D75" s="6" t="s">
        <v>117</v>
      </c>
      <c r="E75" s="7">
        <v>1</v>
      </c>
      <c r="F75" s="31" t="s">
        <v>225</v>
      </c>
      <c r="G75" s="8">
        <v>0</v>
      </c>
      <c r="H75" s="8">
        <v>465.35</v>
      </c>
      <c r="I75" s="9">
        <f t="shared" si="1"/>
        <v>465.35</v>
      </c>
    </row>
    <row r="76" spans="1:9" x14ac:dyDescent="0.25">
      <c r="A76" s="31" t="s">
        <v>262</v>
      </c>
      <c r="B76" s="32" t="s">
        <v>7</v>
      </c>
      <c r="C76" s="32"/>
      <c r="D76" s="6"/>
      <c r="E76" s="7">
        <v>1</v>
      </c>
      <c r="F76" s="62" t="s">
        <v>332</v>
      </c>
      <c r="G76" s="8">
        <v>0</v>
      </c>
      <c r="H76" s="8">
        <v>0</v>
      </c>
      <c r="I76" s="9">
        <f t="shared" si="1"/>
        <v>0</v>
      </c>
    </row>
    <row r="77" spans="1:9" x14ac:dyDescent="0.25">
      <c r="A77" s="31" t="s">
        <v>262</v>
      </c>
      <c r="B77" s="32" t="s">
        <v>7</v>
      </c>
      <c r="C77" s="32"/>
      <c r="D77" s="6" t="s">
        <v>117</v>
      </c>
      <c r="E77" s="7">
        <v>1</v>
      </c>
      <c r="F77" s="31" t="s">
        <v>227</v>
      </c>
      <c r="G77" s="8">
        <v>0</v>
      </c>
      <c r="H77" s="8">
        <v>465.35</v>
      </c>
      <c r="I77" s="9">
        <f t="shared" si="1"/>
        <v>465.35</v>
      </c>
    </row>
    <row r="78" spans="1:9" x14ac:dyDescent="0.25">
      <c r="A78" s="31" t="s">
        <v>262</v>
      </c>
      <c r="B78" s="32" t="s">
        <v>7</v>
      </c>
      <c r="C78" s="32"/>
      <c r="D78" s="6" t="s">
        <v>24</v>
      </c>
      <c r="E78" s="7">
        <v>1</v>
      </c>
      <c r="F78" s="31" t="s">
        <v>305</v>
      </c>
      <c r="G78" s="8">
        <v>5563.85</v>
      </c>
      <c r="H78" s="8">
        <v>465.35</v>
      </c>
      <c r="I78" s="9">
        <f t="shared" si="1"/>
        <v>6029.2000000000007</v>
      </c>
    </row>
    <row r="79" spans="1:9" x14ac:dyDescent="0.25">
      <c r="A79" s="31" t="s">
        <v>262</v>
      </c>
      <c r="B79" s="32" t="s">
        <v>7</v>
      </c>
      <c r="C79" s="32"/>
      <c r="D79" s="6" t="s">
        <v>24</v>
      </c>
      <c r="E79" s="7">
        <v>1</v>
      </c>
      <c r="F79" s="31" t="s">
        <v>273</v>
      </c>
      <c r="G79" s="8">
        <v>4440.25</v>
      </c>
      <c r="H79" s="8">
        <v>465.35</v>
      </c>
      <c r="I79" s="9">
        <f t="shared" si="1"/>
        <v>4905.6000000000004</v>
      </c>
    </row>
    <row r="80" spans="1:9" x14ac:dyDescent="0.25">
      <c r="A80" s="31" t="s">
        <v>262</v>
      </c>
      <c r="B80" s="32" t="s">
        <v>7</v>
      </c>
      <c r="C80" s="32"/>
      <c r="D80" s="6" t="s">
        <v>117</v>
      </c>
      <c r="E80" s="7">
        <v>1</v>
      </c>
      <c r="F80" s="31" t="s">
        <v>230</v>
      </c>
      <c r="G80" s="8">
        <v>0</v>
      </c>
      <c r="H80" s="8">
        <v>465.35</v>
      </c>
      <c r="I80" s="9">
        <f t="shared" si="1"/>
        <v>465.35</v>
      </c>
    </row>
    <row r="81" spans="1:9" ht="45" x14ac:dyDescent="0.25">
      <c r="A81" s="12" t="s">
        <v>120</v>
      </c>
      <c r="B81" s="12" t="s">
        <v>121</v>
      </c>
      <c r="C81" s="13" t="s">
        <v>122</v>
      </c>
      <c r="D81" s="13" t="s">
        <v>123</v>
      </c>
      <c r="E81" s="13" t="s">
        <v>124</v>
      </c>
      <c r="F81" s="27"/>
      <c r="G81" s="13" t="s">
        <v>125</v>
      </c>
      <c r="H81" s="13" t="s">
        <v>126</v>
      </c>
      <c r="I81" s="13" t="s">
        <v>127</v>
      </c>
    </row>
    <row r="82" spans="1:9" x14ac:dyDescent="0.25">
      <c r="A82" s="15" t="s">
        <v>128</v>
      </c>
      <c r="B82" s="28" t="s">
        <v>4</v>
      </c>
      <c r="C82" s="16">
        <v>23</v>
      </c>
      <c r="D82" s="16">
        <v>0</v>
      </c>
      <c r="E82" s="16">
        <v>23</v>
      </c>
      <c r="F82" s="17"/>
      <c r="G82" s="9">
        <v>138497.26</v>
      </c>
      <c r="H82" s="9">
        <v>32234.400000000001</v>
      </c>
      <c r="I82" s="9">
        <v>170731.66</v>
      </c>
    </row>
    <row r="83" spans="1:9" x14ac:dyDescent="0.25">
      <c r="A83" s="15" t="s">
        <v>129</v>
      </c>
      <c r="B83" s="28" t="s">
        <v>130</v>
      </c>
      <c r="C83" s="16">
        <f>SUMIFS($E$48:$E$83,$B$48:$B$83,"FGS-2",$D$48:$D$83,"&lt;&gt;VAGO")</f>
        <v>3</v>
      </c>
      <c r="D83" s="16">
        <f>SUMIFS($E$48:$E$83,$B$48:$B$83,"FGS-2",$D$48:$D$83,"VAGO")</f>
        <v>0</v>
      </c>
      <c r="E83" s="16">
        <f>C83+D83</f>
        <v>3</v>
      </c>
      <c r="F83" s="61" t="s">
        <v>331</v>
      </c>
      <c r="G83" s="9">
        <v>25123.200000000001</v>
      </c>
      <c r="H83" s="9">
        <v>3399.04</v>
      </c>
      <c r="I83" s="9">
        <v>28522.240000000002</v>
      </c>
    </row>
    <row r="84" spans="1:9" x14ac:dyDescent="0.25">
      <c r="A84" s="15" t="s">
        <v>131</v>
      </c>
      <c r="B84" s="28" t="s">
        <v>132</v>
      </c>
      <c r="C84" s="16">
        <f>SUMIFS($E$48:$E$83,$B$48:$B$83,"FGS-3",$D$48:$D$83,"&lt;&gt;VAGO")</f>
        <v>0</v>
      </c>
      <c r="D84" s="16">
        <f>SUMIFS($E$48:$E$83,$B$48:$B$83,"FGS-3",$D$48:$D$83,"VAGO")</f>
        <v>0</v>
      </c>
      <c r="E84" s="16">
        <f>C84+D84</f>
        <v>0</v>
      </c>
      <c r="F84" s="20"/>
      <c r="G84" s="9">
        <f>SUMIF($B$48:$B$83,"FGS-3",$G$48:$G$83)</f>
        <v>0</v>
      </c>
      <c r="H84" s="9">
        <f>SUMIF($B$48:$B$83,"FGS-3",$G$48:$G$83)</f>
        <v>0</v>
      </c>
      <c r="I84" s="9">
        <f>SUMIF($B$48:$B$83,"FGS-3",$G$48:$G$83)</f>
        <v>0</v>
      </c>
    </row>
    <row r="85" spans="1:9" x14ac:dyDescent="0.25">
      <c r="A85" s="21" t="s">
        <v>133</v>
      </c>
      <c r="B85" s="34" t="s">
        <v>134</v>
      </c>
      <c r="C85" s="16">
        <v>4</v>
      </c>
      <c r="D85" s="16">
        <v>1</v>
      </c>
      <c r="E85" s="16">
        <f>C85+D85</f>
        <v>5</v>
      </c>
      <c r="F85" s="22"/>
      <c r="G85" s="9">
        <v>10810.4</v>
      </c>
      <c r="H85" s="9">
        <v>2023.14</v>
      </c>
      <c r="I85" s="9">
        <v>12833.54</v>
      </c>
    </row>
    <row r="86" spans="1:9" x14ac:dyDescent="0.25">
      <c r="A86" s="15" t="s">
        <v>135</v>
      </c>
      <c r="B86" s="28" t="s">
        <v>7</v>
      </c>
      <c r="C86" s="16">
        <v>6</v>
      </c>
      <c r="D86" s="16">
        <v>1</v>
      </c>
      <c r="E86" s="16">
        <v>7</v>
      </c>
      <c r="F86" s="22"/>
      <c r="G86" s="9">
        <v>17695.099999999999</v>
      </c>
      <c r="H86" s="9">
        <v>2792.1</v>
      </c>
      <c r="I86" s="9">
        <v>20487.2</v>
      </c>
    </row>
    <row r="87" spans="1:9" x14ac:dyDescent="0.25">
      <c r="A87" s="15" t="s">
        <v>136</v>
      </c>
      <c r="B87" s="28" t="s">
        <v>137</v>
      </c>
      <c r="C87" s="16">
        <f>SUMIFS($E$48:$E$83,$B$48:$B$83,"FGA-3",$D$48:$D$83,"&lt;&gt;VAGO")</f>
        <v>0</v>
      </c>
      <c r="D87" s="16">
        <f>SUMIFS($E$48:$E$83,$B$48:$B$83,"FGA-3",$D$48:$D$83,"VAGO")</f>
        <v>0</v>
      </c>
      <c r="E87" s="16">
        <f>C87+D87</f>
        <v>0</v>
      </c>
      <c r="F87" s="20"/>
      <c r="G87" s="9">
        <f>SUMIF($B$48:$B$83,"FGA-3",$G$48:$G$83)</f>
        <v>0</v>
      </c>
      <c r="H87" s="9">
        <f>SUMIF($B$48:$B$83,"FGA-3",$G$48:$G$83)</f>
        <v>0</v>
      </c>
      <c r="I87" s="9">
        <f>SUMIF($B$48:$B$83,"FGA-3",$G$48:$G$83)</f>
        <v>0</v>
      </c>
    </row>
    <row r="88" spans="1:9" ht="30" x14ac:dyDescent="0.25">
      <c r="A88" s="12" t="s">
        <v>138</v>
      </c>
      <c r="B88" s="27"/>
      <c r="C88" s="13">
        <f>SUM(C82:C87)</f>
        <v>36</v>
      </c>
      <c r="D88" s="13">
        <f>SUM(D82:D87)</f>
        <v>2</v>
      </c>
      <c r="E88" s="13">
        <f>SUM(E82:E87)</f>
        <v>38</v>
      </c>
      <c r="F88" s="27"/>
      <c r="G88" s="29">
        <f>SUM(G82:G87)</f>
        <v>192125.96000000002</v>
      </c>
      <c r="H88" s="29">
        <f>SUM(H82:H87)</f>
        <v>40448.68</v>
      </c>
      <c r="I88" s="29">
        <f>SUM(I82:I87)</f>
        <v>232574.64</v>
      </c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25"/>
    </row>
    <row r="90" spans="1:9" ht="60" x14ac:dyDescent="0.25">
      <c r="A90" s="12"/>
      <c r="B90" s="12"/>
      <c r="C90" s="13" t="s">
        <v>139</v>
      </c>
      <c r="D90" s="13" t="s">
        <v>140</v>
      </c>
      <c r="E90" s="13" t="s">
        <v>141</v>
      </c>
      <c r="F90" s="14"/>
      <c r="G90" s="13" t="s">
        <v>142</v>
      </c>
      <c r="H90" s="13" t="s">
        <v>143</v>
      </c>
      <c r="I90" s="13" t="s">
        <v>144</v>
      </c>
    </row>
    <row r="91" spans="1:9" ht="30" x14ac:dyDescent="0.25">
      <c r="A91" s="12" t="s">
        <v>145</v>
      </c>
      <c r="B91" s="14"/>
      <c r="C91" s="13">
        <v>47</v>
      </c>
      <c r="D91" s="13">
        <v>2</v>
      </c>
      <c r="E91" s="13">
        <v>49</v>
      </c>
      <c r="F91" s="14"/>
      <c r="G91" s="29">
        <f>SUM(H25+G39+G88)</f>
        <v>227978.2</v>
      </c>
      <c r="H91" s="29">
        <f>SUM(I25+H39+H88)</f>
        <v>81354.58</v>
      </c>
      <c r="I91" s="29">
        <v>303683.28000000003</v>
      </c>
    </row>
    <row r="92" spans="1:9" x14ac:dyDescent="0.25">
      <c r="A92" s="19"/>
      <c r="B92" s="19"/>
      <c r="C92" s="19"/>
      <c r="D92" s="19"/>
      <c r="E92" s="19"/>
      <c r="F92" s="19"/>
      <c r="G92" s="19"/>
      <c r="H92" s="19"/>
      <c r="I92" s="25"/>
    </row>
    <row r="93" spans="1:9" x14ac:dyDescent="0.25">
      <c r="A93" s="130" t="s">
        <v>146</v>
      </c>
      <c r="B93" s="150"/>
      <c r="C93" s="150"/>
      <c r="D93" s="150"/>
      <c r="E93" s="150"/>
      <c r="F93" s="151"/>
      <c r="G93" s="10"/>
      <c r="H93" s="19"/>
      <c r="I93" s="19"/>
    </row>
    <row r="94" spans="1:9" ht="15" customHeight="1" x14ac:dyDescent="0.25">
      <c r="A94" s="131" t="s">
        <v>147</v>
      </c>
      <c r="B94" s="152"/>
      <c r="C94" s="152"/>
      <c r="D94" s="152"/>
      <c r="E94" s="152"/>
      <c r="F94" s="153"/>
      <c r="G94" s="10"/>
      <c r="H94" s="19"/>
      <c r="I94" s="19"/>
    </row>
    <row r="95" spans="1:9" ht="15" customHeight="1" x14ac:dyDescent="0.25">
      <c r="A95" s="131" t="s">
        <v>148</v>
      </c>
      <c r="B95" s="152"/>
      <c r="C95" s="152"/>
      <c r="D95" s="152"/>
      <c r="E95" s="152"/>
      <c r="F95" s="153"/>
      <c r="G95" s="10"/>
      <c r="H95" s="19"/>
      <c r="I95" s="19"/>
    </row>
    <row r="96" spans="1:9" ht="15" customHeight="1" x14ac:dyDescent="0.25">
      <c r="A96" s="124" t="s">
        <v>149</v>
      </c>
      <c r="B96" s="164"/>
      <c r="C96" s="164"/>
      <c r="D96" s="164"/>
      <c r="E96" s="164"/>
      <c r="F96" s="165"/>
      <c r="G96" s="10"/>
      <c r="H96" s="19"/>
      <c r="I96" s="19"/>
    </row>
    <row r="97" spans="1:9" ht="15" customHeight="1" x14ac:dyDescent="0.25">
      <c r="A97" s="124" t="s">
        <v>150</v>
      </c>
      <c r="B97" s="164"/>
      <c r="C97" s="164"/>
      <c r="D97" s="164"/>
      <c r="E97" s="164"/>
      <c r="F97" s="165"/>
      <c r="G97" s="10"/>
      <c r="H97" s="19"/>
      <c r="I97" s="19"/>
    </row>
    <row r="98" spans="1:9" ht="15" customHeight="1" x14ac:dyDescent="0.25">
      <c r="A98" s="124" t="s">
        <v>151</v>
      </c>
      <c r="B98" s="164"/>
      <c r="C98" s="164"/>
      <c r="D98" s="164"/>
      <c r="E98" s="164"/>
      <c r="F98" s="165"/>
      <c r="G98" s="10"/>
      <c r="H98" s="19"/>
      <c r="I98" s="19"/>
    </row>
    <row r="99" spans="1:9" ht="15" customHeight="1" x14ac:dyDescent="0.25">
      <c r="A99" s="124" t="s">
        <v>228</v>
      </c>
      <c r="B99" s="164"/>
      <c r="C99" s="164"/>
      <c r="D99" s="164"/>
      <c r="E99" s="164"/>
      <c r="F99" s="165"/>
      <c r="G99" s="10"/>
      <c r="H99" s="19"/>
      <c r="I99" s="19"/>
    </row>
    <row r="100" spans="1:9" ht="15" customHeight="1" x14ac:dyDescent="0.25">
      <c r="A100" s="124" t="s">
        <v>234</v>
      </c>
      <c r="B100" s="164"/>
      <c r="C100" s="164"/>
      <c r="D100" s="164"/>
      <c r="E100" s="164"/>
      <c r="F100" s="165"/>
      <c r="G100" s="10"/>
      <c r="H100" s="19"/>
      <c r="I100" s="19"/>
    </row>
    <row r="101" spans="1:9" ht="15" customHeight="1" x14ac:dyDescent="0.25">
      <c r="A101" s="124" t="s">
        <v>265</v>
      </c>
      <c r="B101" s="164"/>
      <c r="C101" s="164"/>
      <c r="D101" s="164"/>
      <c r="E101" s="164"/>
      <c r="F101" s="165"/>
      <c r="G101" s="10"/>
      <c r="H101" s="19"/>
      <c r="I101" s="19"/>
    </row>
    <row r="102" spans="1:9" x14ac:dyDescent="0.25">
      <c r="A102" s="133"/>
      <c r="B102" s="166"/>
      <c r="C102" s="166"/>
      <c r="D102" s="166"/>
      <c r="E102" s="166"/>
      <c r="F102" s="167"/>
      <c r="G102" s="10"/>
      <c r="H102" s="19"/>
      <c r="I102" s="19"/>
    </row>
    <row r="103" spans="1:9" x14ac:dyDescent="0.25">
      <c r="A103" s="133"/>
      <c r="B103" s="166"/>
      <c r="C103" s="166"/>
      <c r="D103" s="166"/>
      <c r="E103" s="166"/>
      <c r="F103" s="167"/>
      <c r="G103" s="10"/>
      <c r="H103" s="19"/>
      <c r="I103" s="19"/>
    </row>
    <row r="104" spans="1:9" x14ac:dyDescent="0.25">
      <c r="A104" s="133"/>
      <c r="B104" s="166"/>
      <c r="C104" s="166"/>
      <c r="D104" s="166"/>
      <c r="E104" s="166"/>
      <c r="F104" s="167"/>
      <c r="G104" s="10"/>
      <c r="H104" s="19"/>
      <c r="I104" s="19"/>
    </row>
    <row r="105" spans="1:9" x14ac:dyDescent="0.25">
      <c r="A105" s="168"/>
      <c r="B105" s="169"/>
      <c r="C105" s="169"/>
      <c r="D105" s="169"/>
      <c r="E105" s="169"/>
      <c r="F105" s="170"/>
      <c r="G105" s="10"/>
      <c r="H105" s="19"/>
      <c r="I105" s="19"/>
    </row>
    <row r="106" spans="1:9" x14ac:dyDescent="0.25">
      <c r="A106" s="156"/>
      <c r="B106" s="157"/>
      <c r="C106" s="157"/>
      <c r="D106" s="157"/>
      <c r="E106" s="157"/>
      <c r="F106" s="158"/>
      <c r="G106" s="10"/>
      <c r="H106" s="19"/>
      <c r="I106" s="19"/>
    </row>
    <row r="107" spans="1:9" x14ac:dyDescent="0.25">
      <c r="A107" s="159" t="s">
        <v>152</v>
      </c>
      <c r="B107" s="160"/>
      <c r="C107" s="160"/>
      <c r="D107" s="160"/>
      <c r="E107" s="160"/>
      <c r="F107" s="161"/>
      <c r="G107" s="10"/>
      <c r="H107" s="19"/>
      <c r="I107" s="19"/>
    </row>
    <row r="108" spans="1:9" ht="15" customHeight="1" x14ac:dyDescent="0.25">
      <c r="A108" s="142" t="s">
        <v>153</v>
      </c>
      <c r="B108" s="162"/>
      <c r="C108" s="162"/>
      <c r="D108" s="162"/>
      <c r="E108" s="162"/>
      <c r="F108" s="163"/>
      <c r="G108" s="10"/>
      <c r="H108" s="19"/>
      <c r="I108" s="19"/>
    </row>
    <row r="109" spans="1:9" ht="15" customHeight="1" x14ac:dyDescent="0.25">
      <c r="A109" s="132" t="s">
        <v>154</v>
      </c>
      <c r="B109" s="148"/>
      <c r="C109" s="148"/>
      <c r="D109" s="148"/>
      <c r="E109" s="148"/>
      <c r="F109" s="149"/>
      <c r="G109" s="10"/>
      <c r="H109" s="19"/>
      <c r="I109" s="19"/>
    </row>
    <row r="110" spans="1:9" ht="15" customHeight="1" x14ac:dyDescent="0.25">
      <c r="A110" s="132" t="s">
        <v>155</v>
      </c>
      <c r="B110" s="148"/>
      <c r="C110" s="148"/>
      <c r="D110" s="148"/>
      <c r="E110" s="148"/>
      <c r="F110" s="149"/>
      <c r="G110" s="10"/>
      <c r="H110" s="19"/>
      <c r="I110" s="19"/>
    </row>
    <row r="111" spans="1:9" ht="15" customHeight="1" x14ac:dyDescent="0.25">
      <c r="A111" s="132" t="s">
        <v>156</v>
      </c>
      <c r="B111" s="148"/>
      <c r="C111" s="148"/>
      <c r="D111" s="148"/>
      <c r="E111" s="148"/>
      <c r="F111" s="149"/>
      <c r="G111" s="10"/>
      <c r="H111" s="19"/>
      <c r="I111" s="19"/>
    </row>
    <row r="112" spans="1:9" ht="15" customHeight="1" x14ac:dyDescent="0.25">
      <c r="A112" s="132" t="s">
        <v>157</v>
      </c>
      <c r="B112" s="148"/>
      <c r="C112" s="148"/>
      <c r="D112" s="148"/>
      <c r="E112" s="148"/>
      <c r="F112" s="149"/>
      <c r="G112" s="10"/>
      <c r="H112" s="19"/>
      <c r="I112" s="19"/>
    </row>
    <row r="113" spans="1:9" ht="15" customHeight="1" x14ac:dyDescent="0.25">
      <c r="A113" s="132" t="s">
        <v>158</v>
      </c>
      <c r="B113" s="148"/>
      <c r="C113" s="148"/>
      <c r="D113" s="148"/>
      <c r="E113" s="148"/>
      <c r="F113" s="149"/>
      <c r="G113" s="10"/>
      <c r="H113" s="19"/>
      <c r="I113" s="19"/>
    </row>
    <row r="114" spans="1:9" ht="15" customHeight="1" x14ac:dyDescent="0.25">
      <c r="A114" s="132" t="s">
        <v>159</v>
      </c>
      <c r="B114" s="148"/>
      <c r="C114" s="148"/>
      <c r="D114" s="148"/>
      <c r="E114" s="148"/>
      <c r="F114" s="149"/>
      <c r="G114" s="10"/>
      <c r="H114" s="19"/>
      <c r="I114" s="19"/>
    </row>
    <row r="115" spans="1:9" ht="15" customHeight="1" x14ac:dyDescent="0.25">
      <c r="A115" s="132" t="s">
        <v>160</v>
      </c>
      <c r="B115" s="148"/>
      <c r="C115" s="148"/>
      <c r="D115" s="148"/>
      <c r="E115" s="148"/>
      <c r="F115" s="149"/>
      <c r="G115" s="10"/>
      <c r="H115" s="19"/>
      <c r="I115" s="19"/>
    </row>
    <row r="116" spans="1:9" x14ac:dyDescent="0.25">
      <c r="A116" s="132" t="s">
        <v>161</v>
      </c>
      <c r="B116" s="148"/>
      <c r="C116" s="148"/>
      <c r="D116" s="148"/>
      <c r="E116" s="148"/>
      <c r="F116" s="149"/>
      <c r="G116" s="10"/>
      <c r="H116" s="19"/>
      <c r="I116" s="19"/>
    </row>
    <row r="117" spans="1:9" x14ac:dyDescent="0.25">
      <c r="A117" s="132" t="s">
        <v>162</v>
      </c>
      <c r="B117" s="148"/>
      <c r="C117" s="148"/>
      <c r="D117" s="148"/>
      <c r="E117" s="148"/>
      <c r="F117" s="149"/>
      <c r="G117" s="10"/>
      <c r="H117" s="19"/>
      <c r="I117" s="19"/>
    </row>
    <row r="118" spans="1:9" ht="15" customHeight="1" x14ac:dyDescent="0.25">
      <c r="A118" s="132" t="s">
        <v>163</v>
      </c>
      <c r="B118" s="148"/>
      <c r="C118" s="148"/>
      <c r="D118" s="148"/>
      <c r="E118" s="148"/>
      <c r="F118" s="149"/>
      <c r="G118" s="10"/>
      <c r="H118" s="19"/>
      <c r="I118" s="19"/>
    </row>
    <row r="119" spans="1:9" ht="15" customHeight="1" x14ac:dyDescent="0.25">
      <c r="A119" s="132" t="s">
        <v>164</v>
      </c>
      <c r="B119" s="148"/>
      <c r="C119" s="148"/>
      <c r="D119" s="148"/>
      <c r="E119" s="148"/>
      <c r="F119" s="149"/>
      <c r="G119" s="10"/>
      <c r="H119" s="19"/>
      <c r="I119" s="19"/>
    </row>
    <row r="120" spans="1:9" ht="15" customHeight="1" x14ac:dyDescent="0.25">
      <c r="A120" s="132" t="s">
        <v>165</v>
      </c>
      <c r="B120" s="148"/>
      <c r="C120" s="148"/>
      <c r="D120" s="148"/>
      <c r="E120" s="148"/>
      <c r="F120" s="149"/>
      <c r="G120" s="10"/>
      <c r="H120" s="19"/>
      <c r="I120" s="19"/>
    </row>
    <row r="121" spans="1:9" ht="15" customHeight="1" x14ac:dyDescent="0.25">
      <c r="A121" s="132" t="s">
        <v>166</v>
      </c>
      <c r="B121" s="148"/>
      <c r="C121" s="148"/>
      <c r="D121" s="148"/>
      <c r="E121" s="148"/>
      <c r="F121" s="149"/>
      <c r="G121" s="10"/>
      <c r="H121" s="19"/>
      <c r="I121" s="19"/>
    </row>
    <row r="122" spans="1:9" ht="15" customHeight="1" x14ac:dyDescent="0.25">
      <c r="A122" s="132" t="s">
        <v>167</v>
      </c>
      <c r="B122" s="148"/>
      <c r="C122" s="148"/>
      <c r="D122" s="148"/>
      <c r="E122" s="148"/>
      <c r="F122" s="149"/>
      <c r="G122" s="10"/>
      <c r="H122" s="19"/>
      <c r="I122" s="19"/>
    </row>
    <row r="123" spans="1:9" ht="15" customHeight="1" x14ac:dyDescent="0.25">
      <c r="A123" s="132" t="s">
        <v>168</v>
      </c>
      <c r="B123" s="148"/>
      <c r="C123" s="148"/>
      <c r="D123" s="148"/>
      <c r="E123" s="148"/>
      <c r="F123" s="149"/>
      <c r="G123" s="10"/>
      <c r="H123" s="19"/>
      <c r="I123" s="19"/>
    </row>
    <row r="124" spans="1:9" ht="15" customHeight="1" x14ac:dyDescent="0.25">
      <c r="A124" s="132" t="s">
        <v>169</v>
      </c>
      <c r="B124" s="148"/>
      <c r="C124" s="148"/>
      <c r="D124" s="148"/>
      <c r="E124" s="148"/>
      <c r="F124" s="149"/>
      <c r="G124" s="10"/>
      <c r="H124" s="19"/>
      <c r="I124" s="19"/>
    </row>
    <row r="125" spans="1:9" ht="15" customHeight="1" x14ac:dyDescent="0.25">
      <c r="A125" s="132" t="s">
        <v>170</v>
      </c>
      <c r="B125" s="148"/>
      <c r="C125" s="148"/>
      <c r="D125" s="148"/>
      <c r="E125" s="148"/>
      <c r="F125" s="149"/>
      <c r="G125" s="10"/>
      <c r="H125" s="19"/>
      <c r="I125" s="19"/>
    </row>
    <row r="126" spans="1:9" ht="15" customHeight="1" x14ac:dyDescent="0.25">
      <c r="A126" s="132" t="s">
        <v>171</v>
      </c>
      <c r="B126" s="148"/>
      <c r="C126" s="148"/>
      <c r="D126" s="148"/>
      <c r="E126" s="148"/>
      <c r="F126" s="149"/>
      <c r="G126" s="10"/>
      <c r="H126" s="19"/>
      <c r="I126" s="19"/>
    </row>
    <row r="127" spans="1:9" ht="15" customHeight="1" x14ac:dyDescent="0.25">
      <c r="A127" s="132" t="s">
        <v>172</v>
      </c>
      <c r="B127" s="148"/>
      <c r="C127" s="148"/>
      <c r="D127" s="148"/>
      <c r="E127" s="148"/>
      <c r="F127" s="149"/>
      <c r="G127" s="10"/>
      <c r="H127" s="19"/>
      <c r="I127" s="19"/>
    </row>
    <row r="128" spans="1:9" ht="15" customHeight="1" x14ac:dyDescent="0.25">
      <c r="A128" s="132" t="s">
        <v>173</v>
      </c>
      <c r="B128" s="148"/>
      <c r="C128" s="148"/>
      <c r="D128" s="148"/>
      <c r="E128" s="148"/>
      <c r="F128" s="149"/>
      <c r="G128" s="10"/>
      <c r="H128" s="19"/>
      <c r="I128" s="19"/>
    </row>
    <row r="129" spans="1:9" ht="15" customHeight="1" x14ac:dyDescent="0.25">
      <c r="A129" s="132" t="s">
        <v>174</v>
      </c>
      <c r="B129" s="148"/>
      <c r="C129" s="148"/>
      <c r="D129" s="148"/>
      <c r="E129" s="148"/>
      <c r="F129" s="149"/>
      <c r="G129" s="10"/>
      <c r="H129" s="19"/>
      <c r="I129" s="19"/>
    </row>
    <row r="130" spans="1:9" ht="15" customHeight="1" x14ac:dyDescent="0.25">
      <c r="A130" s="132" t="s">
        <v>175</v>
      </c>
      <c r="B130" s="148"/>
      <c r="C130" s="148"/>
      <c r="D130" s="148"/>
      <c r="E130" s="148"/>
      <c r="F130" s="149"/>
      <c r="G130" s="10"/>
      <c r="H130" s="19"/>
      <c r="I130" s="19"/>
    </row>
    <row r="131" spans="1:9" ht="15" customHeight="1" x14ac:dyDescent="0.25">
      <c r="A131" s="132" t="s">
        <v>176</v>
      </c>
      <c r="B131" s="148"/>
      <c r="C131" s="148"/>
      <c r="D131" s="148"/>
      <c r="E131" s="148"/>
      <c r="F131" s="149"/>
      <c r="G131" s="10"/>
      <c r="H131" s="19"/>
      <c r="I131" s="19"/>
    </row>
    <row r="132" spans="1:9" ht="15" customHeight="1" x14ac:dyDescent="0.25">
      <c r="A132" s="132" t="s">
        <v>177</v>
      </c>
      <c r="B132" s="148"/>
      <c r="C132" s="148"/>
      <c r="D132" s="148"/>
      <c r="E132" s="148"/>
      <c r="F132" s="149"/>
      <c r="G132" s="10"/>
      <c r="H132" s="19"/>
      <c r="I132" s="19"/>
    </row>
    <row r="133" spans="1:9" ht="15" customHeight="1" x14ac:dyDescent="0.25">
      <c r="A133" s="132" t="s">
        <v>178</v>
      </c>
      <c r="B133" s="148"/>
      <c r="C133" s="148"/>
      <c r="D133" s="148"/>
      <c r="E133" s="148"/>
      <c r="F133" s="149"/>
      <c r="G133" s="10"/>
      <c r="H133" s="19"/>
      <c r="I133" s="19"/>
    </row>
    <row r="134" spans="1:9" ht="15" customHeight="1" x14ac:dyDescent="0.25">
      <c r="A134" s="132" t="s">
        <v>179</v>
      </c>
      <c r="B134" s="148"/>
      <c r="C134" s="148"/>
      <c r="D134" s="148"/>
      <c r="E134" s="148"/>
      <c r="F134" s="149"/>
      <c r="G134" s="10"/>
      <c r="H134" s="19"/>
      <c r="I134" s="19"/>
    </row>
    <row r="135" spans="1:9" x14ac:dyDescent="0.25">
      <c r="A135" s="132" t="s">
        <v>180</v>
      </c>
      <c r="B135" s="148"/>
      <c r="C135" s="148"/>
      <c r="D135" s="148"/>
      <c r="E135" s="148"/>
      <c r="F135" s="149"/>
      <c r="G135" s="10"/>
      <c r="H135" s="19"/>
      <c r="I135" s="19"/>
    </row>
    <row r="136" spans="1:9" ht="15" customHeight="1" x14ac:dyDescent="0.25">
      <c r="A136" s="132" t="s">
        <v>181</v>
      </c>
      <c r="B136" s="148"/>
      <c r="C136" s="148"/>
      <c r="D136" s="148"/>
      <c r="E136" s="148"/>
      <c r="F136" s="149"/>
      <c r="G136" s="10"/>
      <c r="H136" s="19"/>
      <c r="I136" s="19"/>
    </row>
    <row r="137" spans="1:9" ht="15" customHeight="1" x14ac:dyDescent="0.25">
      <c r="A137" s="132" t="s">
        <v>182</v>
      </c>
      <c r="B137" s="148"/>
      <c r="C137" s="148"/>
      <c r="D137" s="148"/>
      <c r="E137" s="148"/>
      <c r="F137" s="149"/>
      <c r="G137" s="10"/>
      <c r="H137" s="19"/>
      <c r="I137" s="19"/>
    </row>
    <row r="138" spans="1:9" ht="15" customHeight="1" x14ac:dyDescent="0.25">
      <c r="A138" s="132" t="s">
        <v>183</v>
      </c>
      <c r="B138" s="148"/>
      <c r="C138" s="148"/>
      <c r="D138" s="148"/>
      <c r="E138" s="148"/>
      <c r="F138" s="149"/>
      <c r="G138" s="10"/>
      <c r="H138" s="19"/>
      <c r="I138" s="19"/>
    </row>
    <row r="139" spans="1:9" ht="15" customHeight="1" x14ac:dyDescent="0.25">
      <c r="A139" s="132" t="s">
        <v>184</v>
      </c>
      <c r="B139" s="148"/>
      <c r="C139" s="148"/>
      <c r="D139" s="148"/>
      <c r="E139" s="148"/>
      <c r="F139" s="149"/>
      <c r="G139" s="10"/>
      <c r="H139" s="19"/>
      <c r="I139" s="19"/>
    </row>
    <row r="140" spans="1:9" ht="15" customHeight="1" x14ac:dyDescent="0.25">
      <c r="A140" s="132" t="s">
        <v>185</v>
      </c>
      <c r="B140" s="148"/>
      <c r="C140" s="148"/>
      <c r="D140" s="148"/>
      <c r="E140" s="148"/>
      <c r="F140" s="149"/>
      <c r="G140" s="10"/>
      <c r="H140" s="19"/>
      <c r="I140" s="19"/>
    </row>
    <row r="141" spans="1:9" ht="15" customHeight="1" x14ac:dyDescent="0.25">
      <c r="A141" s="132" t="s">
        <v>186</v>
      </c>
      <c r="B141" s="148"/>
      <c r="C141" s="148"/>
      <c r="D141" s="148"/>
      <c r="E141" s="148"/>
      <c r="F141" s="149"/>
      <c r="G141" s="10"/>
      <c r="H141" s="19"/>
      <c r="I141" s="19"/>
    </row>
    <row r="142" spans="1:9" ht="15" customHeight="1" x14ac:dyDescent="0.25">
      <c r="A142" s="132" t="s">
        <v>187</v>
      </c>
      <c r="B142" s="148"/>
      <c r="C142" s="148"/>
      <c r="D142" s="148"/>
      <c r="E142" s="148"/>
      <c r="F142" s="149"/>
      <c r="G142" s="10"/>
      <c r="H142" s="19"/>
      <c r="I142" s="19"/>
    </row>
    <row r="143" spans="1:9" ht="15" customHeight="1" x14ac:dyDescent="0.25">
      <c r="A143" s="132" t="s">
        <v>188</v>
      </c>
      <c r="B143" s="148"/>
      <c r="C143" s="148"/>
      <c r="D143" s="148"/>
      <c r="E143" s="148"/>
      <c r="F143" s="149"/>
      <c r="G143" s="10"/>
      <c r="H143" s="19"/>
      <c r="I143" s="19"/>
    </row>
    <row r="144" spans="1:9" ht="15" customHeight="1" x14ac:dyDescent="0.25">
      <c r="A144" s="132" t="s">
        <v>189</v>
      </c>
      <c r="B144" s="148"/>
      <c r="C144" s="148"/>
      <c r="D144" s="148"/>
      <c r="E144" s="148"/>
      <c r="F144" s="149"/>
      <c r="G144" s="10"/>
      <c r="H144" s="19"/>
      <c r="I144" s="19"/>
    </row>
    <row r="145" spans="1:9" ht="15" customHeight="1" x14ac:dyDescent="0.25">
      <c r="A145" s="132" t="s">
        <v>190</v>
      </c>
      <c r="B145" s="148"/>
      <c r="C145" s="148"/>
      <c r="D145" s="148"/>
      <c r="E145" s="148"/>
      <c r="F145" s="149"/>
      <c r="G145" s="10"/>
      <c r="H145" s="19"/>
      <c r="I145" s="19"/>
    </row>
    <row r="146" spans="1:9" ht="15" customHeight="1" x14ac:dyDescent="0.25">
      <c r="A146" s="132" t="s">
        <v>191</v>
      </c>
      <c r="B146" s="148"/>
      <c r="C146" s="148"/>
      <c r="D146" s="148"/>
      <c r="E146" s="148"/>
      <c r="F146" s="149"/>
      <c r="G146" s="10"/>
      <c r="H146" s="19"/>
      <c r="I146" s="19"/>
    </row>
    <row r="147" spans="1:9" ht="15" customHeight="1" x14ac:dyDescent="0.25">
      <c r="A147" s="132" t="s">
        <v>192</v>
      </c>
      <c r="B147" s="148"/>
      <c r="C147" s="148"/>
      <c r="D147" s="148"/>
      <c r="E147" s="148"/>
      <c r="F147" s="149"/>
      <c r="G147" s="10"/>
      <c r="H147" s="19"/>
      <c r="I147" s="19"/>
    </row>
    <row r="148" spans="1:9" ht="15" customHeight="1" x14ac:dyDescent="0.25">
      <c r="A148" s="132" t="s">
        <v>193</v>
      </c>
      <c r="B148" s="148"/>
      <c r="C148" s="148"/>
      <c r="D148" s="148"/>
      <c r="E148" s="148"/>
      <c r="F148" s="149"/>
      <c r="G148" s="10"/>
      <c r="H148" s="19"/>
      <c r="I148" s="19"/>
    </row>
    <row r="149" spans="1:9" ht="15" customHeight="1" x14ac:dyDescent="0.25">
      <c r="A149" s="132" t="s">
        <v>194</v>
      </c>
      <c r="B149" s="148"/>
      <c r="C149" s="148"/>
      <c r="D149" s="148"/>
      <c r="E149" s="148"/>
      <c r="F149" s="149"/>
      <c r="G149" s="35"/>
      <c r="H149" s="35"/>
      <c r="I149" s="35"/>
    </row>
    <row r="150" spans="1:9" ht="15" customHeight="1" x14ac:dyDescent="0.25">
      <c r="A150" s="132" t="s">
        <v>195</v>
      </c>
      <c r="B150" s="148"/>
      <c r="C150" s="148"/>
      <c r="D150" s="148"/>
      <c r="E150" s="148"/>
      <c r="F150" s="149"/>
      <c r="G150" s="35"/>
      <c r="H150" s="35"/>
      <c r="I150" s="35"/>
    </row>
    <row r="151" spans="1:9" ht="15" customHeight="1" x14ac:dyDescent="0.25">
      <c r="A151" s="132" t="s">
        <v>196</v>
      </c>
      <c r="B151" s="148"/>
      <c r="C151" s="148"/>
      <c r="D151" s="148"/>
      <c r="E151" s="148"/>
      <c r="F151" s="149"/>
      <c r="G151" s="35"/>
      <c r="H151" s="35"/>
      <c r="I151" s="35"/>
    </row>
    <row r="152" spans="1:9" x14ac:dyDescent="0.25">
      <c r="A152" s="132" t="s">
        <v>197</v>
      </c>
      <c r="B152" s="148"/>
      <c r="C152" s="148"/>
      <c r="D152" s="148"/>
      <c r="E152" s="148"/>
      <c r="F152" s="149"/>
      <c r="G152" s="35"/>
      <c r="H152" s="35"/>
      <c r="I152" s="35"/>
    </row>
    <row r="153" spans="1:9" ht="15" customHeight="1" x14ac:dyDescent="0.25">
      <c r="A153" s="132" t="s">
        <v>198</v>
      </c>
      <c r="B153" s="148"/>
      <c r="C153" s="148"/>
      <c r="D153" s="148"/>
      <c r="E153" s="148"/>
      <c r="F153" s="149"/>
      <c r="G153" s="35"/>
      <c r="H153" s="35"/>
      <c r="I153" s="35"/>
    </row>
    <row r="154" spans="1:9" ht="15" customHeight="1" x14ac:dyDescent="0.25">
      <c r="A154" s="132" t="s">
        <v>199</v>
      </c>
      <c r="B154" s="148"/>
      <c r="C154" s="148"/>
      <c r="D154" s="148"/>
      <c r="E154" s="148"/>
      <c r="F154" s="149"/>
      <c r="G154" s="35"/>
      <c r="H154" s="35"/>
      <c r="I154" s="35"/>
    </row>
    <row r="155" spans="1:9" ht="15" customHeight="1" x14ac:dyDescent="0.25">
      <c r="A155" s="132" t="s">
        <v>200</v>
      </c>
      <c r="B155" s="148"/>
      <c r="C155" s="148"/>
      <c r="D155" s="148"/>
      <c r="E155" s="148"/>
      <c r="F155" s="149"/>
      <c r="G155" s="35"/>
      <c r="H155" s="35"/>
      <c r="I155" s="35"/>
    </row>
    <row r="156" spans="1:9" ht="15" customHeight="1" x14ac:dyDescent="0.25">
      <c r="A156" s="132" t="s">
        <v>201</v>
      </c>
      <c r="B156" s="148"/>
      <c r="C156" s="148"/>
      <c r="D156" s="148"/>
      <c r="E156" s="148"/>
      <c r="F156" s="149"/>
      <c r="G156" s="35"/>
      <c r="H156" s="35"/>
      <c r="I156" s="35"/>
    </row>
    <row r="157" spans="1:9" ht="15" customHeight="1" x14ac:dyDescent="0.25">
      <c r="A157" s="132" t="s">
        <v>202</v>
      </c>
      <c r="B157" s="148"/>
      <c r="C157" s="148"/>
      <c r="D157" s="148"/>
      <c r="E157" s="148"/>
      <c r="F157" s="149"/>
      <c r="G157" s="35"/>
      <c r="H157" s="35"/>
      <c r="I157" s="35"/>
    </row>
    <row r="158" spans="1:9" ht="15" customHeight="1" x14ac:dyDescent="0.25">
      <c r="A158" s="132" t="s">
        <v>203</v>
      </c>
      <c r="B158" s="148"/>
      <c r="C158" s="148"/>
      <c r="D158" s="148"/>
      <c r="E158" s="148"/>
      <c r="F158" s="149"/>
      <c r="G158" s="35"/>
      <c r="H158" s="35"/>
      <c r="I158" s="35"/>
    </row>
    <row r="159" spans="1:9" ht="15" customHeight="1" x14ac:dyDescent="0.25">
      <c r="A159" s="132" t="s">
        <v>204</v>
      </c>
      <c r="B159" s="148"/>
      <c r="C159" s="148"/>
      <c r="D159" s="148"/>
      <c r="E159" s="148"/>
      <c r="F159" s="149"/>
      <c r="G159" s="35"/>
      <c r="H159" s="35"/>
      <c r="I159" s="35"/>
    </row>
    <row r="160" spans="1:9" ht="15" customHeight="1" x14ac:dyDescent="0.25">
      <c r="A160" s="132" t="s">
        <v>205</v>
      </c>
      <c r="B160" s="148"/>
      <c r="C160" s="148"/>
      <c r="D160" s="148"/>
      <c r="E160" s="148"/>
      <c r="F160" s="149"/>
      <c r="G160" s="35"/>
      <c r="H160" s="35"/>
      <c r="I160" s="35"/>
    </row>
    <row r="161" spans="1:9" ht="15" customHeight="1" x14ac:dyDescent="0.25">
      <c r="A161" s="132" t="s">
        <v>206</v>
      </c>
      <c r="B161" s="148"/>
      <c r="C161" s="148"/>
      <c r="D161" s="148"/>
      <c r="E161" s="148"/>
      <c r="F161" s="149"/>
      <c r="G161" s="35"/>
      <c r="H161" s="35"/>
      <c r="I161" s="35"/>
    </row>
    <row r="162" spans="1:9" ht="15" customHeight="1" x14ac:dyDescent="0.25">
      <c r="A162" s="132" t="s">
        <v>207</v>
      </c>
      <c r="B162" s="148"/>
      <c r="C162" s="148"/>
      <c r="D162" s="148"/>
      <c r="E162" s="148"/>
      <c r="F162" s="149"/>
      <c r="G162" s="35"/>
      <c r="H162" s="35"/>
      <c r="I162" s="35"/>
    </row>
    <row r="163" spans="1:9" ht="15" customHeight="1" x14ac:dyDescent="0.25">
      <c r="A163" s="132" t="s">
        <v>208</v>
      </c>
      <c r="B163" s="148"/>
      <c r="C163" s="148"/>
      <c r="D163" s="148"/>
      <c r="E163" s="148"/>
      <c r="F163" s="149"/>
      <c r="G163" s="35"/>
      <c r="H163" s="35"/>
      <c r="I163" s="35"/>
    </row>
    <row r="164" spans="1:9" ht="15" customHeight="1" x14ac:dyDescent="0.25">
      <c r="A164" s="132" t="s">
        <v>209</v>
      </c>
      <c r="B164" s="148"/>
      <c r="C164" s="148"/>
      <c r="D164" s="148"/>
      <c r="E164" s="148"/>
      <c r="F164" s="149"/>
      <c r="G164" s="35"/>
      <c r="H164" s="35"/>
      <c r="I164" s="35"/>
    </row>
    <row r="165" spans="1:9" ht="15" customHeight="1" x14ac:dyDescent="0.25">
      <c r="A165" s="132" t="s">
        <v>210</v>
      </c>
      <c r="B165" s="148"/>
      <c r="C165" s="148"/>
      <c r="D165" s="148"/>
      <c r="E165" s="148"/>
      <c r="F165" s="149"/>
      <c r="G165" s="35"/>
      <c r="H165" s="35"/>
      <c r="I165" s="35"/>
    </row>
    <row r="166" spans="1:9" ht="15" customHeight="1" x14ac:dyDescent="0.25">
      <c r="A166" s="132" t="s">
        <v>211</v>
      </c>
      <c r="B166" s="148"/>
      <c r="C166" s="148"/>
      <c r="D166" s="148"/>
      <c r="E166" s="148"/>
      <c r="F166" s="149"/>
      <c r="G166" s="35"/>
      <c r="H166" s="35"/>
      <c r="I166" s="35"/>
    </row>
    <row r="167" spans="1:9" ht="15" customHeight="1" x14ac:dyDescent="0.25">
      <c r="A167" s="132" t="s">
        <v>212</v>
      </c>
      <c r="B167" s="148"/>
      <c r="C167" s="148"/>
      <c r="D167" s="148"/>
      <c r="E167" s="148"/>
      <c r="F167" s="149"/>
      <c r="G167" s="35"/>
      <c r="H167" s="35"/>
      <c r="I167" s="35"/>
    </row>
    <row r="168" spans="1:9" ht="15" customHeight="1" x14ac:dyDescent="0.25">
      <c r="A168" s="132" t="s">
        <v>213</v>
      </c>
      <c r="B168" s="148"/>
      <c r="C168" s="148"/>
      <c r="D168" s="148"/>
      <c r="E168" s="148"/>
      <c r="F168" s="149"/>
      <c r="G168" s="35"/>
      <c r="H168" s="35"/>
      <c r="I168" s="35"/>
    </row>
    <row r="169" spans="1:9" x14ac:dyDescent="0.25">
      <c r="A169" s="36"/>
      <c r="B169" s="38"/>
      <c r="C169" s="38"/>
      <c r="D169" s="38"/>
      <c r="E169" s="38"/>
      <c r="F169" s="38"/>
      <c r="G169" s="35"/>
      <c r="H169" s="35"/>
      <c r="I169" s="35"/>
    </row>
    <row r="170" spans="1:9" ht="28.5" customHeight="1" x14ac:dyDescent="0.25">
      <c r="A170" s="155" t="s">
        <v>330</v>
      </c>
      <c r="B170" s="155"/>
      <c r="C170" s="155"/>
      <c r="D170" s="155"/>
      <c r="E170" s="155"/>
      <c r="F170" s="155"/>
      <c r="G170" s="35"/>
      <c r="H170" s="35"/>
      <c r="I170" s="35"/>
    </row>
    <row r="171" spans="1:9" x14ac:dyDescent="0.25">
      <c r="A171" s="36"/>
      <c r="B171" s="38"/>
      <c r="C171" s="38"/>
      <c r="D171" s="38"/>
      <c r="E171" s="38"/>
      <c r="F171" s="38"/>
      <c r="G171" s="35"/>
      <c r="H171" s="35"/>
      <c r="I171" s="35"/>
    </row>
    <row r="172" spans="1:9" ht="28.5" customHeight="1" x14ac:dyDescent="0.25">
      <c r="A172" s="154" t="s">
        <v>329</v>
      </c>
      <c r="B172" s="154"/>
      <c r="C172" s="154"/>
      <c r="D172" s="154"/>
      <c r="E172" s="154"/>
      <c r="F172" s="154"/>
      <c r="G172" s="35"/>
      <c r="H172" s="35"/>
      <c r="I172" s="35"/>
    </row>
    <row r="173" spans="1:9" ht="15" customHeight="1" x14ac:dyDescent="0.25">
      <c r="G173" s="35"/>
      <c r="H173" s="35"/>
      <c r="I173" s="35"/>
    </row>
    <row r="174" spans="1:9" ht="28.5" customHeight="1" x14ac:dyDescent="0.25">
      <c r="A174" s="154" t="s">
        <v>328</v>
      </c>
      <c r="B174" s="154"/>
      <c r="C174" s="154"/>
      <c r="D174" s="154"/>
      <c r="E174" s="154"/>
      <c r="F174" s="154"/>
      <c r="G174" s="35"/>
      <c r="H174" s="35"/>
      <c r="I174" s="35"/>
    </row>
    <row r="175" spans="1:9" x14ac:dyDescent="0.25">
      <c r="A175" s="56"/>
    </row>
    <row r="176" spans="1:9" x14ac:dyDescent="0.25">
      <c r="A176" t="s">
        <v>327</v>
      </c>
    </row>
    <row r="180" spans="1:1" x14ac:dyDescent="0.25">
      <c r="A180" s="39" t="s">
        <v>326</v>
      </c>
    </row>
    <row r="181" spans="1:1" x14ac:dyDescent="0.25">
      <c r="A181" s="40" t="s">
        <v>10</v>
      </c>
    </row>
    <row r="182" spans="1:1" x14ac:dyDescent="0.25">
      <c r="A182" s="39" t="s">
        <v>235</v>
      </c>
    </row>
  </sheetData>
  <mergeCells count="85">
    <mergeCell ref="A96:F96"/>
    <mergeCell ref="A97:F97"/>
    <mergeCell ref="A98:F98"/>
    <mergeCell ref="A99:F99"/>
    <mergeCell ref="B3:J3"/>
    <mergeCell ref="A4:J4"/>
    <mergeCell ref="A27:I27"/>
    <mergeCell ref="A41:I41"/>
    <mergeCell ref="A95:F95"/>
    <mergeCell ref="A106:F106"/>
    <mergeCell ref="A107:F107"/>
    <mergeCell ref="A108:F108"/>
    <mergeCell ref="A109:F109"/>
    <mergeCell ref="A100:F100"/>
    <mergeCell ref="A101:F101"/>
    <mergeCell ref="A102:F102"/>
    <mergeCell ref="A103:F103"/>
    <mergeCell ref="A104:F104"/>
    <mergeCell ref="A105:F105"/>
    <mergeCell ref="A110:F110"/>
    <mergeCell ref="A111:F111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12:F112"/>
    <mergeCell ref="A120:F120"/>
    <mergeCell ref="A121:F121"/>
    <mergeCell ref="A122:F122"/>
    <mergeCell ref="A123:F123"/>
    <mergeCell ref="A136:F136"/>
    <mergeCell ref="A125:F125"/>
    <mergeCell ref="A126:F126"/>
    <mergeCell ref="A127:F127"/>
    <mergeCell ref="A128:F128"/>
    <mergeCell ref="A129:F129"/>
    <mergeCell ref="A133:F133"/>
    <mergeCell ref="A134:F134"/>
    <mergeCell ref="A135:F135"/>
    <mergeCell ref="A162:F162"/>
    <mergeCell ref="A163:F163"/>
    <mergeCell ref="A164:F164"/>
    <mergeCell ref="A165:F165"/>
    <mergeCell ref="A166:F166"/>
    <mergeCell ref="A174:F174"/>
    <mergeCell ref="A167:F167"/>
    <mergeCell ref="A168:F168"/>
    <mergeCell ref="A170:F170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159:F159"/>
    <mergeCell ref="A160:F160"/>
    <mergeCell ref="A172:F172"/>
    <mergeCell ref="A161:F161"/>
    <mergeCell ref="A146:F146"/>
    <mergeCell ref="A147:F147"/>
    <mergeCell ref="A148:F148"/>
    <mergeCell ref="A149:F149"/>
    <mergeCell ref="A150:F150"/>
    <mergeCell ref="A1:J1"/>
    <mergeCell ref="A2:J2"/>
    <mergeCell ref="A143:F143"/>
    <mergeCell ref="A144:F144"/>
    <mergeCell ref="A145:F145"/>
    <mergeCell ref="A138:F138"/>
    <mergeCell ref="A139:F139"/>
    <mergeCell ref="A140:F140"/>
    <mergeCell ref="A141:F141"/>
    <mergeCell ref="A142:F142"/>
    <mergeCell ref="A93:F93"/>
    <mergeCell ref="A94:F94"/>
    <mergeCell ref="A137:F137"/>
    <mergeCell ref="A130:F130"/>
    <mergeCell ref="A131:F131"/>
    <mergeCell ref="A132:F132"/>
  </mergeCells>
  <dataValidations count="4">
    <dataValidation type="list" allowBlank="1" sqref="D6:D12 D43:D80 D29:D32" xr:uid="{00000000-0002-0000-1600-000003000000}">
      <formula1>"AGP,CLH,CLT,COM,CTD,CTI,DES,DISP,ELE,ESG,EST,EXM,EXQ,EXR,FRQ,REV,VAGO"</formula1>
    </dataValidation>
    <dataValidation type="list" allowBlank="1" sqref="B43:B80" xr:uid="{00000000-0002-0000-1600-000002000000}">
      <formula1>"FGS-1,FGS-2,FGS-3,FGA-1,FGA-2,FGA-3"</formula1>
    </dataValidation>
    <dataValidation type="list" allowBlank="1" sqref="B29:B32" xr:uid="{00000000-0002-0000-1600-000001000000}">
      <formula1>"FDA,FDA-1,FDA-2,FDA-3,FDA-4"</formula1>
    </dataValidation>
    <dataValidation type="list" allowBlank="1" sqref="B6:B12" xr:uid="{00000000-0002-0000-1600-000000000000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92F4-24A3-49EF-A55C-B5F44780C8C9}">
  <dimension ref="A1:AA179"/>
  <sheetViews>
    <sheetView workbookViewId="0">
      <selection activeCell="A3" sqref="A3:XFD3"/>
    </sheetView>
  </sheetViews>
  <sheetFormatPr defaultRowHeight="15" x14ac:dyDescent="0.25"/>
  <cols>
    <col min="1" max="1" width="55.28515625" customWidth="1"/>
    <col min="2" max="2" width="9.85546875" customWidth="1"/>
    <col min="3" max="3" width="11.5703125" customWidth="1"/>
    <col min="4" max="4" width="9.85546875" customWidth="1"/>
    <col min="5" max="5" width="6.42578125" customWidth="1"/>
    <col min="6" max="6" width="43.42578125" customWidth="1"/>
    <col min="7" max="7" width="11.5703125" customWidth="1"/>
    <col min="8" max="8" width="10.28515625" customWidth="1"/>
    <col min="9" max="9" width="12.28515625" customWidth="1"/>
    <col min="10" max="10" width="10" customWidth="1"/>
  </cols>
  <sheetData>
    <row r="1" spans="1:27" ht="21" x14ac:dyDescent="0.35">
      <c r="A1" s="194" t="s">
        <v>368</v>
      </c>
      <c r="B1" s="195"/>
      <c r="C1" s="195"/>
      <c r="D1" s="195"/>
      <c r="E1" s="195"/>
      <c r="F1" s="195"/>
      <c r="G1" s="195"/>
      <c r="H1" s="195"/>
      <c r="I1" s="195"/>
      <c r="J1" s="19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x14ac:dyDescent="0.25">
      <c r="A3" s="1">
        <v>45180</v>
      </c>
      <c r="B3" s="147" t="s">
        <v>11</v>
      </c>
      <c r="C3" s="128"/>
      <c r="D3" s="128"/>
      <c r="E3" s="128"/>
      <c r="F3" s="128"/>
      <c r="G3" s="128"/>
      <c r="H3" s="128"/>
      <c r="I3" s="128"/>
      <c r="J3" s="129"/>
    </row>
    <row r="4" spans="1:27" x14ac:dyDescent="0.25">
      <c r="A4" s="127" t="s">
        <v>12</v>
      </c>
      <c r="B4" s="128"/>
      <c r="C4" s="128"/>
      <c r="D4" s="128"/>
      <c r="E4" s="128"/>
      <c r="F4" s="128"/>
      <c r="G4" s="128"/>
      <c r="H4" s="128"/>
      <c r="I4" s="128"/>
      <c r="J4" s="129"/>
    </row>
    <row r="5" spans="1:27" ht="22.5" x14ac:dyDescent="0.25">
      <c r="A5" s="63" t="s">
        <v>13</v>
      </c>
      <c r="B5" s="64" t="s">
        <v>14</v>
      </c>
      <c r="C5" s="64" t="s">
        <v>15</v>
      </c>
      <c r="D5" s="64" t="s">
        <v>16</v>
      </c>
      <c r="E5" s="64" t="s">
        <v>17</v>
      </c>
      <c r="F5" s="63" t="s">
        <v>18</v>
      </c>
      <c r="G5" s="64" t="s">
        <v>19</v>
      </c>
      <c r="H5" s="64" t="s">
        <v>20</v>
      </c>
      <c r="I5" s="64" t="s">
        <v>21</v>
      </c>
      <c r="J5" s="64" t="s">
        <v>281</v>
      </c>
    </row>
    <row r="6" spans="1:27" x14ac:dyDescent="0.25">
      <c r="A6" s="65" t="s">
        <v>282</v>
      </c>
      <c r="B6" s="66" t="s">
        <v>0</v>
      </c>
      <c r="C6" s="67" t="s">
        <v>338</v>
      </c>
      <c r="D6" s="67" t="s">
        <v>24</v>
      </c>
      <c r="E6" s="68">
        <v>1</v>
      </c>
      <c r="F6" s="69" t="s">
        <v>284</v>
      </c>
      <c r="G6" s="70">
        <v>0</v>
      </c>
      <c r="H6" s="70">
        <v>8479.33</v>
      </c>
      <c r="I6" s="70">
        <v>9360</v>
      </c>
      <c r="J6" s="71">
        <v>17839.330000000002</v>
      </c>
    </row>
    <row r="7" spans="1:27" x14ac:dyDescent="0.25">
      <c r="A7" s="65" t="s">
        <v>285</v>
      </c>
      <c r="B7" s="66" t="s">
        <v>2</v>
      </c>
      <c r="C7" s="67" t="s">
        <v>27</v>
      </c>
      <c r="D7" s="67" t="s">
        <v>28</v>
      </c>
      <c r="E7" s="68">
        <v>1</v>
      </c>
      <c r="F7" s="69" t="s">
        <v>308</v>
      </c>
      <c r="G7" s="70">
        <v>0</v>
      </c>
      <c r="H7" s="70">
        <v>1079.06</v>
      </c>
      <c r="I7" s="70">
        <v>4316.21</v>
      </c>
      <c r="J7" s="71">
        <v>5395.27</v>
      </c>
    </row>
    <row r="8" spans="1:27" x14ac:dyDescent="0.25">
      <c r="A8" s="65" t="s">
        <v>38</v>
      </c>
      <c r="B8" s="67" t="s">
        <v>2</v>
      </c>
      <c r="C8" s="67" t="s">
        <v>39</v>
      </c>
      <c r="D8" s="67" t="s">
        <v>28</v>
      </c>
      <c r="E8" s="68">
        <v>1</v>
      </c>
      <c r="F8" s="69" t="s">
        <v>339</v>
      </c>
      <c r="G8" s="70">
        <v>0</v>
      </c>
      <c r="H8" s="70">
        <v>1079.06</v>
      </c>
      <c r="I8" s="70">
        <v>4316.21</v>
      </c>
      <c r="J8" s="71">
        <v>5395.27</v>
      </c>
    </row>
    <row r="9" spans="1:27" ht="15" customHeight="1" x14ac:dyDescent="0.25">
      <c r="A9" s="65" t="s">
        <v>288</v>
      </c>
      <c r="B9" s="66" t="s">
        <v>8</v>
      </c>
      <c r="C9" s="67" t="s">
        <v>37</v>
      </c>
      <c r="D9" s="67" t="s">
        <v>28</v>
      </c>
      <c r="E9" s="68">
        <v>1</v>
      </c>
      <c r="F9" s="69" t="s">
        <v>310</v>
      </c>
      <c r="G9" s="70">
        <v>0</v>
      </c>
      <c r="H9" s="70">
        <v>700.75</v>
      </c>
      <c r="I9" s="70">
        <v>3083.01</v>
      </c>
      <c r="J9" s="71">
        <v>3783.76</v>
      </c>
    </row>
    <row r="10" spans="1:27" x14ac:dyDescent="0.25">
      <c r="A10" s="65" t="s">
        <v>290</v>
      </c>
      <c r="B10" s="66" t="s">
        <v>8</v>
      </c>
      <c r="C10" s="67" t="s">
        <v>35</v>
      </c>
      <c r="D10" s="67" t="s">
        <v>28</v>
      </c>
      <c r="E10" s="68">
        <v>1</v>
      </c>
      <c r="F10" s="69" t="s">
        <v>311</v>
      </c>
      <c r="G10" s="70">
        <v>0</v>
      </c>
      <c r="H10" s="70">
        <v>700.75</v>
      </c>
      <c r="I10" s="70">
        <v>3083.01</v>
      </c>
      <c r="J10" s="71">
        <v>3783.76</v>
      </c>
    </row>
    <row r="11" spans="1:27" x14ac:dyDescent="0.25">
      <c r="A11" s="65" t="s">
        <v>268</v>
      </c>
      <c r="B11" s="66" t="s">
        <v>9</v>
      </c>
      <c r="C11" s="67" t="s">
        <v>30</v>
      </c>
      <c r="D11" s="67" t="s">
        <v>28</v>
      </c>
      <c r="E11" s="68">
        <v>1</v>
      </c>
      <c r="F11" s="69" t="s">
        <v>312</v>
      </c>
      <c r="G11" s="70">
        <v>0</v>
      </c>
      <c r="H11" s="70">
        <v>500.99</v>
      </c>
      <c r="I11" s="70">
        <v>2003.96</v>
      </c>
      <c r="J11" s="71">
        <v>2504.9499999999998</v>
      </c>
    </row>
    <row r="12" spans="1:27" x14ac:dyDescent="0.25">
      <c r="A12" s="65" t="s">
        <v>31</v>
      </c>
      <c r="B12" s="66" t="s">
        <v>32</v>
      </c>
      <c r="C12" s="67" t="s">
        <v>33</v>
      </c>
      <c r="D12" s="67" t="s">
        <v>28</v>
      </c>
      <c r="E12" s="68">
        <v>1</v>
      </c>
      <c r="F12" s="69" t="s">
        <v>313</v>
      </c>
      <c r="G12" s="70">
        <v>0</v>
      </c>
      <c r="H12" s="70">
        <v>308.3</v>
      </c>
      <c r="I12" s="70">
        <v>1233.21</v>
      </c>
      <c r="J12" s="71">
        <v>1541.51</v>
      </c>
    </row>
    <row r="13" spans="1:27" ht="33.75" x14ac:dyDescent="0.25">
      <c r="A13" s="72" t="s">
        <v>40</v>
      </c>
      <c r="B13" s="72" t="s">
        <v>41</v>
      </c>
      <c r="C13" s="73" t="s">
        <v>42</v>
      </c>
      <c r="D13" s="73" t="s">
        <v>43</v>
      </c>
      <c r="E13" s="73" t="s">
        <v>44</v>
      </c>
      <c r="F13" s="74"/>
      <c r="G13" s="73" t="s">
        <v>45</v>
      </c>
      <c r="H13" s="73" t="s">
        <v>46</v>
      </c>
      <c r="I13" s="73" t="s">
        <v>47</v>
      </c>
      <c r="J13" s="56"/>
    </row>
    <row r="14" spans="1:27" x14ac:dyDescent="0.25">
      <c r="A14" s="75" t="s">
        <v>48</v>
      </c>
      <c r="B14" s="76" t="s">
        <v>49</v>
      </c>
      <c r="C14" s="77">
        <f ca="1">SUMIFS($E$12:$E$15,$B$12:$B$15,"DAS",$D$12:$D$15,"&lt;&gt;VAGO")</f>
        <v>0</v>
      </c>
      <c r="D14" s="77">
        <f ca="1">SUMIFS($E$12:$E$15,$B$12:$B$15,"DAS",$D$12:$D$15,"VAGO")</f>
        <v>0</v>
      </c>
      <c r="E14" s="77">
        <f t="shared" ref="E14:E24" ca="1" si="0">C14+D14</f>
        <v>0</v>
      </c>
      <c r="F14" s="78"/>
      <c r="G14" s="79">
        <f ca="1">SUMIF($B$12:$B$15,"DAS",$G$12:$G$15)</f>
        <v>0</v>
      </c>
      <c r="H14" s="79">
        <f ca="1">SUMIF($B$12:$B$15,"DAS",$H$12:$H$15)</f>
        <v>0</v>
      </c>
      <c r="I14" s="79">
        <f ca="1">SUMIF($B$12:$B$15,"DAS",$I$12:$I$15)</f>
        <v>0</v>
      </c>
      <c r="J14" s="56"/>
    </row>
    <row r="15" spans="1:27" x14ac:dyDescent="0.25">
      <c r="A15" s="75" t="s">
        <v>50</v>
      </c>
      <c r="B15" s="76" t="s">
        <v>0</v>
      </c>
      <c r="C15" s="77">
        <v>1</v>
      </c>
      <c r="D15" s="77">
        <f ca="1">SUMIFS($E$12:$E$15,$B$12:$B$15,"DAS-1",$D$12:$D$15,"VAGO")</f>
        <v>0</v>
      </c>
      <c r="E15" s="77">
        <f t="shared" ca="1" si="0"/>
        <v>1</v>
      </c>
      <c r="F15" s="61"/>
      <c r="G15" s="79">
        <f ca="1">SUMIF($B$12:$B$15,"DAS-1",$G$12:$G$15)</f>
        <v>0</v>
      </c>
      <c r="H15" s="80">
        <v>8479.33</v>
      </c>
      <c r="I15" s="80">
        <v>9360</v>
      </c>
      <c r="J15" s="56"/>
    </row>
    <row r="16" spans="1:27" x14ac:dyDescent="0.25">
      <c r="A16" s="75" t="s">
        <v>51</v>
      </c>
      <c r="B16" s="76" t="s">
        <v>52</v>
      </c>
      <c r="C16" s="77">
        <f>SUMIFS($E$12:$E$15,$B$12:$B$15,"DAS-2",$D$12:$D$15,"&lt;&gt;VAGO")</f>
        <v>0</v>
      </c>
      <c r="D16" s="77">
        <v>0</v>
      </c>
      <c r="E16" s="77">
        <f t="shared" si="0"/>
        <v>0</v>
      </c>
      <c r="F16" s="61"/>
      <c r="G16" s="79">
        <f>SUMIF($B$12:$B$15,"DAS-2",$G$12:$G$15)</f>
        <v>0</v>
      </c>
      <c r="H16" s="79">
        <f>SUMIF($B$12:$B$15,"DAS-2",$H$12:$H$15)</f>
        <v>0</v>
      </c>
      <c r="I16" s="79">
        <f>SUMIF($B$12:$B$15,"DAS-2",$I$12:$I$15)</f>
        <v>0</v>
      </c>
      <c r="J16" s="56"/>
    </row>
    <row r="17" spans="1:10" x14ac:dyDescent="0.25">
      <c r="A17" s="75" t="s">
        <v>53</v>
      </c>
      <c r="B17" s="76" t="s">
        <v>54</v>
      </c>
      <c r="C17" s="77">
        <f>SUMIFS($E$12:$E$15,$B$12:$B$15,"DAS-3",$D$12:$D$15,"&lt;&gt;VAGO")</f>
        <v>0</v>
      </c>
      <c r="D17" s="77">
        <f>SUMIFS($E$12:$E$15,$B$12:$B$15,"DAS-3",$D$12:$D$15,"VAGO")</f>
        <v>0</v>
      </c>
      <c r="E17" s="77">
        <f t="shared" si="0"/>
        <v>0</v>
      </c>
      <c r="F17" s="61"/>
      <c r="G17" s="79">
        <f>SUMIF($B$12:$B$15,"DAS-3",$G$12:$G$15)</f>
        <v>0</v>
      </c>
      <c r="H17" s="79">
        <f>SUMIF($B$12:$B$15,"DAS-3",$H$12:$H$15)</f>
        <v>0</v>
      </c>
      <c r="I17" s="79">
        <f>SUMIF($B$12:$B$15,"DAS-3",$I$12:$I$15)</f>
        <v>0</v>
      </c>
      <c r="J17" s="56"/>
    </row>
    <row r="18" spans="1:10" x14ac:dyDescent="0.25">
      <c r="A18" s="81" t="s">
        <v>55</v>
      </c>
      <c r="B18" s="76" t="s">
        <v>56</v>
      </c>
      <c r="C18" s="77">
        <f>SUMIFS($E$12:$E$15,$B$12:$B$15,"DAS-4",$D$12:$D$15,"&lt;&gt;VAGO")</f>
        <v>0</v>
      </c>
      <c r="D18" s="77">
        <f>SUMIFS($E$12:$E$15,$B$12:$B$15,"DAS-4",$D$12:$D$15,"VAGO")</f>
        <v>0</v>
      </c>
      <c r="E18" s="77">
        <f t="shared" si="0"/>
        <v>0</v>
      </c>
      <c r="F18" s="82"/>
      <c r="G18" s="79">
        <f>SUMIF($B$12:$B$15,"DAS-4",$G$12:$G$15)</f>
        <v>0</v>
      </c>
      <c r="H18" s="79">
        <f>SUMIF($B$12:$B$15,"DAS-4",$H$12:$H$15)</f>
        <v>0</v>
      </c>
      <c r="I18" s="79">
        <f>SUMIF($B$12:$B$15,"DAS-4",$I$12:$I$15)</f>
        <v>0</v>
      </c>
      <c r="J18" s="56"/>
    </row>
    <row r="19" spans="1:10" x14ac:dyDescent="0.25">
      <c r="A19" s="81" t="s">
        <v>57</v>
      </c>
      <c r="B19" s="76" t="s">
        <v>2</v>
      </c>
      <c r="C19" s="77">
        <v>2</v>
      </c>
      <c r="D19" s="77">
        <v>0</v>
      </c>
      <c r="E19" s="77">
        <v>2</v>
      </c>
      <c r="F19" s="82"/>
      <c r="G19" s="79">
        <f>SUMIF($B$12:$B$15,"DAS-5",$G$12:$G$15)</f>
        <v>0</v>
      </c>
      <c r="H19" s="80">
        <v>2079.12</v>
      </c>
      <c r="I19" s="80">
        <v>8632.42</v>
      </c>
      <c r="J19" s="56"/>
    </row>
    <row r="20" spans="1:10" x14ac:dyDescent="0.25">
      <c r="A20" s="81" t="s">
        <v>58</v>
      </c>
      <c r="B20" s="76" t="s">
        <v>59</v>
      </c>
      <c r="C20" s="77">
        <f>SUMIFS($E$12:$E$15,$B$12:$B$15,"CAA-1",$D$12:$D$15,"&lt;&gt;VAGO")</f>
        <v>0</v>
      </c>
      <c r="D20" s="77">
        <f>SUMIFS($E$12:$E$15,$B$12:$B$15,"CAA-1",$D$12:$D$15,"VAGO")</f>
        <v>0</v>
      </c>
      <c r="E20" s="77">
        <f t="shared" si="0"/>
        <v>0</v>
      </c>
      <c r="F20" s="82"/>
      <c r="G20" s="79">
        <f>SUMIF($B$12:$B$15,"CAA-1",$G$12:$G$15)</f>
        <v>0</v>
      </c>
      <c r="H20" s="79">
        <f>SUMIF($B$12:$B$15,"CAA-1",$H$12:$H$15)</f>
        <v>0</v>
      </c>
      <c r="I20" s="79">
        <f>SUMIF($B$12:$B$15,"CAA-1",$I$12:$I$15)</f>
        <v>0</v>
      </c>
      <c r="J20" s="56"/>
    </row>
    <row r="21" spans="1:10" x14ac:dyDescent="0.25">
      <c r="A21" s="81" t="s">
        <v>60</v>
      </c>
      <c r="B21" s="76" t="s">
        <v>8</v>
      </c>
      <c r="C21" s="77">
        <v>2</v>
      </c>
      <c r="D21" s="77">
        <v>0</v>
      </c>
      <c r="E21" s="77">
        <v>2</v>
      </c>
      <c r="F21" s="82"/>
      <c r="G21" s="79">
        <f>SUMIF($B$12:$B$15,"CAA-2",$G$12:$G$15)</f>
        <v>0</v>
      </c>
      <c r="H21" s="80">
        <v>1401.5</v>
      </c>
      <c r="I21" s="80">
        <v>6166.02</v>
      </c>
      <c r="J21" s="56"/>
    </row>
    <row r="22" spans="1:10" x14ac:dyDescent="0.25">
      <c r="A22" s="81" t="s">
        <v>61</v>
      </c>
      <c r="B22" s="76" t="s">
        <v>9</v>
      </c>
      <c r="C22" s="77">
        <v>1</v>
      </c>
      <c r="D22" s="77">
        <v>0</v>
      </c>
      <c r="E22" s="77">
        <f t="shared" si="0"/>
        <v>1</v>
      </c>
      <c r="F22" s="61" t="s">
        <v>269</v>
      </c>
      <c r="G22" s="79">
        <f>SUMIF($B$12:$B$15,"CAA-3",$G$12:$G$15)</f>
        <v>0</v>
      </c>
      <c r="H22" s="80">
        <v>500.99</v>
      </c>
      <c r="I22" s="80">
        <v>2003.96</v>
      </c>
      <c r="J22" s="56"/>
    </row>
    <row r="23" spans="1:10" x14ac:dyDescent="0.25">
      <c r="A23" s="81" t="s">
        <v>62</v>
      </c>
      <c r="B23" s="76" t="s">
        <v>32</v>
      </c>
      <c r="C23" s="77">
        <v>1</v>
      </c>
      <c r="D23" s="77">
        <v>0</v>
      </c>
      <c r="E23" s="77">
        <f t="shared" si="0"/>
        <v>1</v>
      </c>
      <c r="F23" s="61"/>
      <c r="G23" s="79">
        <f>SUMIF($B$12:$B$15,"CAA-4",$G$12:$G$15)</f>
        <v>0</v>
      </c>
      <c r="H23" s="79">
        <f>SUMIF($B$12:$B$15,"CAA-4",$H$12:$H$15)</f>
        <v>308.3</v>
      </c>
      <c r="I23" s="79">
        <f>SUMIF($B$12:$B$15,"CAA-4",$I$12:$I$15)</f>
        <v>1233.21</v>
      </c>
      <c r="J23" s="56"/>
    </row>
    <row r="24" spans="1:10" x14ac:dyDescent="0.25">
      <c r="A24" s="81" t="s">
        <v>63</v>
      </c>
      <c r="B24" s="76" t="s">
        <v>64</v>
      </c>
      <c r="C24" s="77">
        <f>SUMIFS($E$12:$E$15,$B$12:$B$15,"CAA-5",$D$12:$D$15,"&lt;&gt;VAGO")</f>
        <v>0</v>
      </c>
      <c r="D24" s="77">
        <f>SUMIFS($E$12:$E$15,$B$12:$B$15,"CAA-5",$D$12:$D$15,"VAGO")</f>
        <v>0</v>
      </c>
      <c r="E24" s="77">
        <f t="shared" si="0"/>
        <v>0</v>
      </c>
      <c r="F24" s="61"/>
      <c r="G24" s="79">
        <f>SUMIF($B$12:$B$15,"CAA-5",$G$12:$G$15)</f>
        <v>0</v>
      </c>
      <c r="H24" s="79">
        <f>SUMIF($B$12:$B$15,"CAA-5",$H$12:$H$15)</f>
        <v>0</v>
      </c>
      <c r="I24" s="79">
        <f>SUMIF($B$12:$B$15,"CAA-5",$I$12:$I$15)</f>
        <v>0</v>
      </c>
      <c r="J24" s="56"/>
    </row>
    <row r="25" spans="1:10" x14ac:dyDescent="0.25">
      <c r="A25" s="72" t="s">
        <v>65</v>
      </c>
      <c r="B25" s="83"/>
      <c r="C25" s="73">
        <v>7</v>
      </c>
      <c r="D25" s="73">
        <v>0</v>
      </c>
      <c r="E25" s="73">
        <f ca="1">SUM(E14:E24)</f>
        <v>7</v>
      </c>
      <c r="F25" s="83"/>
      <c r="G25" s="84">
        <f ca="1">SUM(G14:G24)</f>
        <v>0</v>
      </c>
      <c r="H25" s="84">
        <v>12779.24</v>
      </c>
      <c r="I25" s="84">
        <v>27895.61</v>
      </c>
      <c r="J25" s="56"/>
    </row>
    <row r="26" spans="1:10" x14ac:dyDescent="0.25">
      <c r="A26" s="85"/>
      <c r="B26" s="85"/>
      <c r="C26" s="85"/>
      <c r="D26" s="85"/>
      <c r="E26" s="85"/>
      <c r="F26" s="85"/>
      <c r="G26" s="85"/>
      <c r="H26" s="86"/>
      <c r="I26" s="86"/>
      <c r="J26" s="56"/>
    </row>
    <row r="27" spans="1:10" x14ac:dyDescent="0.25">
      <c r="A27" s="171" t="s">
        <v>66</v>
      </c>
      <c r="B27" s="125"/>
      <c r="C27" s="125"/>
      <c r="D27" s="125"/>
      <c r="E27" s="125"/>
      <c r="F27" s="125"/>
      <c r="G27" s="125"/>
      <c r="H27" s="125"/>
      <c r="I27" s="126"/>
      <c r="J27" s="56"/>
    </row>
    <row r="28" spans="1:10" ht="22.5" x14ac:dyDescent="0.25">
      <c r="A28" s="64" t="s">
        <v>67</v>
      </c>
      <c r="B28" s="64" t="s">
        <v>68</v>
      </c>
      <c r="C28" s="64" t="s">
        <v>69</v>
      </c>
      <c r="D28" s="64" t="s">
        <v>70</v>
      </c>
      <c r="E28" s="64" t="s">
        <v>71</v>
      </c>
      <c r="F28" s="64" t="s">
        <v>72</v>
      </c>
      <c r="G28" s="64" t="s">
        <v>73</v>
      </c>
      <c r="H28" s="64" t="s">
        <v>74</v>
      </c>
      <c r="I28" s="64" t="s">
        <v>75</v>
      </c>
      <c r="J28" s="56"/>
    </row>
    <row r="29" spans="1:10" x14ac:dyDescent="0.25">
      <c r="A29" s="54" t="s">
        <v>81</v>
      </c>
      <c r="B29" s="87" t="s">
        <v>3</v>
      </c>
      <c r="C29" s="67" t="s">
        <v>35</v>
      </c>
      <c r="D29" s="67" t="s">
        <v>117</v>
      </c>
      <c r="E29" s="76">
        <v>1</v>
      </c>
      <c r="F29" s="56" t="s">
        <v>314</v>
      </c>
      <c r="G29" s="79">
        <f ca="1">SUMIF($B$12:$B$15,"DAS",$G$12:$G$15)</f>
        <v>0</v>
      </c>
      <c r="H29" s="79">
        <v>4316.21</v>
      </c>
      <c r="I29" s="79">
        <v>4316.21</v>
      </c>
      <c r="J29" s="56"/>
    </row>
    <row r="30" spans="1:10" ht="15" customHeight="1" x14ac:dyDescent="0.25">
      <c r="A30" s="54" t="s">
        <v>77</v>
      </c>
      <c r="B30" s="87" t="s">
        <v>3</v>
      </c>
      <c r="C30" s="67" t="s">
        <v>78</v>
      </c>
      <c r="D30" s="67" t="s">
        <v>24</v>
      </c>
      <c r="E30" s="76">
        <v>1</v>
      </c>
      <c r="F30" s="88" t="s">
        <v>295</v>
      </c>
      <c r="G30" s="89">
        <v>5404.89</v>
      </c>
      <c r="H30" s="79">
        <v>1726.48</v>
      </c>
      <c r="I30" s="79">
        <v>7131.37</v>
      </c>
      <c r="J30" s="56"/>
    </row>
    <row r="31" spans="1:10" ht="15" customHeight="1" x14ac:dyDescent="0.25">
      <c r="A31" s="54" t="s">
        <v>79</v>
      </c>
      <c r="B31" s="87" t="s">
        <v>3</v>
      </c>
      <c r="C31" s="67" t="s">
        <v>80</v>
      </c>
      <c r="D31" s="67" t="s">
        <v>24</v>
      </c>
      <c r="E31" s="76">
        <v>1</v>
      </c>
      <c r="F31" s="54" t="s">
        <v>296</v>
      </c>
      <c r="G31" s="79">
        <v>7691</v>
      </c>
      <c r="H31" s="79">
        <v>3884.59</v>
      </c>
      <c r="I31" s="79">
        <v>11575.59</v>
      </c>
      <c r="J31" s="56"/>
    </row>
    <row r="32" spans="1:10" ht="15" customHeight="1" x14ac:dyDescent="0.25">
      <c r="A32" s="54" t="s">
        <v>76</v>
      </c>
      <c r="B32" s="87" t="s">
        <v>1</v>
      </c>
      <c r="C32" s="67" t="s">
        <v>35</v>
      </c>
      <c r="D32" s="67" t="s">
        <v>24</v>
      </c>
      <c r="E32" s="76">
        <v>1</v>
      </c>
      <c r="F32" s="88" t="s">
        <v>297</v>
      </c>
      <c r="G32" s="79">
        <v>7691</v>
      </c>
      <c r="H32" s="79">
        <v>3083.01</v>
      </c>
      <c r="I32" s="79">
        <v>10777.01</v>
      </c>
      <c r="J32" s="56"/>
    </row>
    <row r="33" spans="1:10" ht="33.75" x14ac:dyDescent="0.25">
      <c r="A33" s="72" t="s">
        <v>82</v>
      </c>
      <c r="B33" s="72" t="s">
        <v>83</v>
      </c>
      <c r="C33" s="73" t="s">
        <v>84</v>
      </c>
      <c r="D33" s="73" t="s">
        <v>85</v>
      </c>
      <c r="E33" s="73" t="s">
        <v>86</v>
      </c>
      <c r="F33" s="90"/>
      <c r="G33" s="73" t="s">
        <v>87</v>
      </c>
      <c r="H33" s="73" t="s">
        <v>88</v>
      </c>
      <c r="I33" s="73" t="s">
        <v>89</v>
      </c>
      <c r="J33" s="56"/>
    </row>
    <row r="34" spans="1:10" x14ac:dyDescent="0.25">
      <c r="A34" s="75" t="s">
        <v>90</v>
      </c>
      <c r="B34" s="91" t="s">
        <v>91</v>
      </c>
      <c r="C34" s="77">
        <f ca="1">SUMIFS($E$29:$E$35,$B$29:$B$35,"FDA",$D$29:$D$35,"&lt;&gt;VAGO")</f>
        <v>0</v>
      </c>
      <c r="D34" s="77">
        <f ca="1">SUMIFS($E$29:$E$35,$B$29:$B$35,"FDA",$D$29:$D$35,"VAGO")</f>
        <v>0</v>
      </c>
      <c r="E34" s="77">
        <f t="shared" ref="E34:E38" ca="1" si="1">C34+D34</f>
        <v>0</v>
      </c>
      <c r="F34" s="78"/>
      <c r="G34" s="92">
        <f ca="1">SUMIF($B$29:$B$35,"FDA",$G$29:$G$35)</f>
        <v>0</v>
      </c>
      <c r="H34" s="92">
        <f ca="1">SUMIF($B$29:$B$35,"FDA",$H$29:$H$35)</f>
        <v>0</v>
      </c>
      <c r="I34" s="92">
        <f ca="1">SUMIF($B$29:$B$35,"FDA",$I$29:$I$35)</f>
        <v>0</v>
      </c>
      <c r="J34" s="56"/>
    </row>
    <row r="35" spans="1:10" x14ac:dyDescent="0.25">
      <c r="A35" s="75" t="s">
        <v>92</v>
      </c>
      <c r="B35" s="91" t="s">
        <v>93</v>
      </c>
      <c r="C35" s="77">
        <f ca="1">SUMIFS($E$29:$E$35,$B$29:$B$35,"FDA-1",$D$29:$D$35,"&lt;&gt;VAGO")</f>
        <v>0</v>
      </c>
      <c r="D35" s="77">
        <f ca="1">SUMIFS($E$29:$E$35,$B$29:$B$35,"FDA-1",$D$29:$D$35,"VAGO")</f>
        <v>0</v>
      </c>
      <c r="E35" s="77">
        <f t="shared" ca="1" si="1"/>
        <v>0</v>
      </c>
      <c r="F35" s="78"/>
      <c r="G35" s="92">
        <f ca="1">SUMIF($B$29:$B$35,"FDA-1",$G$29:$G$35)</f>
        <v>0</v>
      </c>
      <c r="H35" s="92">
        <f ca="1">SUMIF($B$29:$B$35,"FDA-1",$H$29:$H$35)</f>
        <v>0</v>
      </c>
      <c r="I35" s="92">
        <f ca="1">SUMIF($B$29:$B$35,"FDA-1",$I$29:$I$35)</f>
        <v>0</v>
      </c>
      <c r="J35" s="56"/>
    </row>
    <row r="36" spans="1:10" x14ac:dyDescent="0.25">
      <c r="A36" s="75" t="s">
        <v>94</v>
      </c>
      <c r="B36" s="91" t="s">
        <v>95</v>
      </c>
      <c r="C36" s="77">
        <f>SUMIFS($E$29:$E$35,$B$29:$B$35,"FDA-2",$D$29:$D$35,"&lt;&gt;VAGO")</f>
        <v>0</v>
      </c>
      <c r="D36" s="77">
        <f>SUMIFS($E$29:$E$35,$B$29:$B$35,"FDA-2",$D$29:$D$35,"VAGO")</f>
        <v>0</v>
      </c>
      <c r="E36" s="77">
        <f t="shared" si="1"/>
        <v>0</v>
      </c>
      <c r="F36" s="61"/>
      <c r="G36" s="92">
        <f>SUMIF($B$29:$B$35,"FDA-2",$G$29:$G$35)</f>
        <v>0</v>
      </c>
      <c r="H36" s="92">
        <f>SUMIF($B$29:$B$35,"FDA-2",$H$29:$H$35)</f>
        <v>0</v>
      </c>
      <c r="I36" s="92">
        <f>SUMIF($B$29:$B$35,"FDA-2",$I$29:$I$35)</f>
        <v>0</v>
      </c>
      <c r="J36" s="56"/>
    </row>
    <row r="37" spans="1:10" ht="15" customHeight="1" x14ac:dyDescent="0.25">
      <c r="A37" s="75" t="s">
        <v>96</v>
      </c>
      <c r="B37" s="91" t="s">
        <v>3</v>
      </c>
      <c r="C37" s="77">
        <f>SUMIFS($E$29:$E$35,$B$29:$B$35,"FDA-3",$D$29:$D$35,"&lt;&gt;VAGO")</f>
        <v>3</v>
      </c>
      <c r="D37" s="77">
        <f>SUMIFS($E$29:$E$35,$B$29:$B$35,"FDA-3",$D$29:$D$35,"VAGO")</f>
        <v>0</v>
      </c>
      <c r="E37" s="77">
        <f t="shared" si="1"/>
        <v>3</v>
      </c>
      <c r="F37" s="82" t="s">
        <v>317</v>
      </c>
      <c r="G37" s="92">
        <v>15382</v>
      </c>
      <c r="H37" s="92">
        <v>9927.2800000000007</v>
      </c>
      <c r="I37" s="92">
        <v>25309.279999999999</v>
      </c>
      <c r="J37" s="56"/>
    </row>
    <row r="38" spans="1:10" x14ac:dyDescent="0.25">
      <c r="A38" s="75" t="s">
        <v>97</v>
      </c>
      <c r="B38" s="91" t="s">
        <v>1</v>
      </c>
      <c r="C38" s="77">
        <f>SUMIFS($E$29:$E$35,$B$29:$B$35,"FDA-4",$D$29:$D$35,"&lt;&gt;VAGO")</f>
        <v>1</v>
      </c>
      <c r="D38" s="77">
        <f>SUMIFS($E$29:$E$35,$B$29:$B$35,"FDA-4",$D$29:$D$35,"VAGO")</f>
        <v>0</v>
      </c>
      <c r="E38" s="77">
        <f t="shared" si="1"/>
        <v>1</v>
      </c>
      <c r="F38" s="61" t="s">
        <v>299</v>
      </c>
      <c r="G38" s="92">
        <f>SUMIF($B$29:$B$35,"FDA-4",$G$29:$G$35)</f>
        <v>7691</v>
      </c>
      <c r="H38" s="92">
        <f>SUMIF($B$29:$B$35,"FDA-4",$H$29:$H$35)</f>
        <v>3083.01</v>
      </c>
      <c r="I38" s="92">
        <f>SUMIF($B$29:$B$35,"FDA-4",$I$29:$I$35)</f>
        <v>10777.01</v>
      </c>
      <c r="J38" s="56"/>
    </row>
    <row r="39" spans="1:10" ht="22.5" x14ac:dyDescent="0.25">
      <c r="A39" s="72" t="s">
        <v>98</v>
      </c>
      <c r="B39" s="90"/>
      <c r="C39" s="73">
        <f t="shared" ref="C39:E39" ca="1" si="2">SUM(C35:C38)</f>
        <v>4</v>
      </c>
      <c r="D39" s="73">
        <f t="shared" ca="1" si="2"/>
        <v>0</v>
      </c>
      <c r="E39" s="73">
        <f t="shared" ca="1" si="2"/>
        <v>4</v>
      </c>
      <c r="F39" s="90"/>
      <c r="G39" s="93">
        <v>23073</v>
      </c>
      <c r="H39" s="93">
        <v>13010.29</v>
      </c>
      <c r="I39" s="93">
        <v>36086.29</v>
      </c>
      <c r="J39" s="56"/>
    </row>
    <row r="40" spans="1:10" x14ac:dyDescent="0.25">
      <c r="A40" s="94"/>
      <c r="B40" s="94"/>
      <c r="C40" s="94"/>
      <c r="D40" s="94"/>
      <c r="E40" s="94"/>
      <c r="F40" s="94"/>
      <c r="G40" s="94"/>
      <c r="H40" s="94"/>
      <c r="I40" s="95"/>
      <c r="J40" s="56"/>
    </row>
    <row r="41" spans="1:10" x14ac:dyDescent="0.25">
      <c r="A41" s="171" t="s">
        <v>99</v>
      </c>
      <c r="B41" s="125"/>
      <c r="C41" s="125"/>
      <c r="D41" s="125"/>
      <c r="E41" s="125"/>
      <c r="F41" s="125"/>
      <c r="G41" s="125"/>
      <c r="H41" s="125"/>
      <c r="I41" s="126"/>
      <c r="J41" s="56"/>
    </row>
    <row r="42" spans="1:10" ht="22.5" x14ac:dyDescent="0.25">
      <c r="A42" s="96" t="s">
        <v>100</v>
      </c>
      <c r="B42" s="64" t="s">
        <v>101</v>
      </c>
      <c r="C42" s="64" t="s">
        <v>102</v>
      </c>
      <c r="D42" s="64" t="s">
        <v>103</v>
      </c>
      <c r="E42" s="64" t="s">
        <v>104</v>
      </c>
      <c r="F42" s="64" t="s">
        <v>105</v>
      </c>
      <c r="G42" s="64" t="s">
        <v>106</v>
      </c>
      <c r="H42" s="64" t="s">
        <v>107</v>
      </c>
      <c r="I42" s="64" t="s">
        <v>108</v>
      </c>
      <c r="J42" s="56"/>
    </row>
    <row r="43" spans="1:10" ht="15" customHeight="1" x14ac:dyDescent="0.25">
      <c r="A43" s="97" t="s">
        <v>270</v>
      </c>
      <c r="B43" s="98" t="s">
        <v>4</v>
      </c>
      <c r="C43" s="99"/>
      <c r="D43" s="99" t="s">
        <v>24</v>
      </c>
      <c r="E43" s="100">
        <v>1</v>
      </c>
      <c r="F43" s="101" t="s">
        <v>271</v>
      </c>
      <c r="G43" s="102">
        <v>5933.35</v>
      </c>
      <c r="H43" s="102">
        <v>1392.8</v>
      </c>
      <c r="I43" s="92">
        <f>SUM(G43:H43)</f>
        <v>7326.1500000000005</v>
      </c>
      <c r="J43" s="103"/>
    </row>
    <row r="44" spans="1:10" ht="15" customHeight="1" x14ac:dyDescent="0.25">
      <c r="A44" s="97" t="s">
        <v>272</v>
      </c>
      <c r="B44" s="98" t="s">
        <v>4</v>
      </c>
      <c r="C44" s="99"/>
      <c r="D44" s="99" t="s">
        <v>24</v>
      </c>
      <c r="E44" s="100">
        <v>1</v>
      </c>
      <c r="F44" s="54" t="s">
        <v>222</v>
      </c>
      <c r="G44" s="102">
        <v>5675.13</v>
      </c>
      <c r="H44" s="102">
        <v>1392.8</v>
      </c>
      <c r="I44" s="92">
        <v>7067.93</v>
      </c>
      <c r="J44" s="103"/>
    </row>
    <row r="45" spans="1:10" ht="15" customHeight="1" x14ac:dyDescent="0.25">
      <c r="A45" s="104" t="s">
        <v>236</v>
      </c>
      <c r="B45" s="105" t="s">
        <v>4</v>
      </c>
      <c r="C45" s="105"/>
      <c r="D45" s="67" t="s">
        <v>24</v>
      </c>
      <c r="E45" s="76">
        <v>1</v>
      </c>
      <c r="F45" s="104" t="s">
        <v>218</v>
      </c>
      <c r="G45" s="102">
        <v>8075.56</v>
      </c>
      <c r="H45" s="102">
        <v>1392.8</v>
      </c>
      <c r="I45" s="92">
        <f>SUM(G45:H45)</f>
        <v>9468.36</v>
      </c>
      <c r="J45" s="56"/>
    </row>
    <row r="46" spans="1:10" ht="15" customHeight="1" x14ac:dyDescent="0.25">
      <c r="A46" s="54" t="s">
        <v>237</v>
      </c>
      <c r="B46" s="105" t="s">
        <v>4</v>
      </c>
      <c r="C46" s="67"/>
      <c r="D46" s="67" t="s">
        <v>24</v>
      </c>
      <c r="E46" s="76">
        <v>1</v>
      </c>
      <c r="F46" s="54" t="s">
        <v>276</v>
      </c>
      <c r="G46" s="102">
        <v>5250.46</v>
      </c>
      <c r="H46" s="102">
        <v>1392.8</v>
      </c>
      <c r="I46" s="92">
        <f t="shared" ref="I46:I80" si="3">SUM(G46:H46)</f>
        <v>6643.26</v>
      </c>
      <c r="J46" s="56"/>
    </row>
    <row r="47" spans="1:10" ht="15" customHeight="1" x14ac:dyDescent="0.25">
      <c r="A47" s="54" t="s">
        <v>238</v>
      </c>
      <c r="B47" s="105" t="s">
        <v>4</v>
      </c>
      <c r="C47" s="67"/>
      <c r="D47" s="67" t="s">
        <v>24</v>
      </c>
      <c r="E47" s="76">
        <v>1</v>
      </c>
      <c r="F47" s="54" t="s">
        <v>214</v>
      </c>
      <c r="G47" s="102">
        <v>8075.56</v>
      </c>
      <c r="H47" s="102">
        <v>1392.8</v>
      </c>
      <c r="I47" s="92">
        <f t="shared" si="3"/>
        <v>9468.36</v>
      </c>
      <c r="J47" s="56"/>
    </row>
    <row r="48" spans="1:10" ht="15" customHeight="1" x14ac:dyDescent="0.25">
      <c r="A48" s="54" t="s">
        <v>239</v>
      </c>
      <c r="B48" s="105" t="s">
        <v>4</v>
      </c>
      <c r="C48" s="67"/>
      <c r="D48" s="67" t="s">
        <v>24</v>
      </c>
      <c r="E48" s="76">
        <v>1</v>
      </c>
      <c r="F48" s="54" t="s">
        <v>240</v>
      </c>
      <c r="G48" s="102">
        <v>7691</v>
      </c>
      <c r="H48" s="102">
        <v>1392.8</v>
      </c>
      <c r="I48" s="92">
        <f t="shared" si="3"/>
        <v>9083.7999999999993</v>
      </c>
      <c r="J48" s="56"/>
    </row>
    <row r="49" spans="1:10" ht="15" customHeight="1" x14ac:dyDescent="0.25">
      <c r="A49" s="54" t="s">
        <v>241</v>
      </c>
      <c r="B49" s="105" t="s">
        <v>4</v>
      </c>
      <c r="C49" s="67"/>
      <c r="D49" s="67" t="s">
        <v>24</v>
      </c>
      <c r="E49" s="76">
        <v>1</v>
      </c>
      <c r="F49" s="54" t="s">
        <v>109</v>
      </c>
      <c r="G49" s="102">
        <v>8299.11</v>
      </c>
      <c r="H49" s="102">
        <v>1392.8</v>
      </c>
      <c r="I49" s="92">
        <f t="shared" si="3"/>
        <v>9691.91</v>
      </c>
      <c r="J49" s="56"/>
    </row>
    <row r="50" spans="1:10" ht="15" customHeight="1" x14ac:dyDescent="0.25">
      <c r="A50" s="54" t="s">
        <v>242</v>
      </c>
      <c r="B50" s="105" t="s">
        <v>4</v>
      </c>
      <c r="C50" s="67"/>
      <c r="D50" s="67" t="s">
        <v>24</v>
      </c>
      <c r="E50" s="76">
        <v>1</v>
      </c>
      <c r="F50" s="54" t="s">
        <v>277</v>
      </c>
      <c r="G50" s="102">
        <v>4902.3900000000003</v>
      </c>
      <c r="H50" s="102">
        <v>1392.8</v>
      </c>
      <c r="I50" s="92">
        <f t="shared" si="3"/>
        <v>6295.1900000000005</v>
      </c>
      <c r="J50" s="56"/>
    </row>
    <row r="51" spans="1:10" ht="15" customHeight="1" x14ac:dyDescent="0.25">
      <c r="A51" s="54" t="s">
        <v>243</v>
      </c>
      <c r="B51" s="105" t="s">
        <v>4</v>
      </c>
      <c r="C51" s="67"/>
      <c r="D51" s="67" t="s">
        <v>24</v>
      </c>
      <c r="E51" s="76">
        <v>1</v>
      </c>
      <c r="F51" s="54" t="s">
        <v>111</v>
      </c>
      <c r="G51" s="102">
        <v>7691</v>
      </c>
      <c r="H51" s="102">
        <v>1392.8</v>
      </c>
      <c r="I51" s="92">
        <f t="shared" si="3"/>
        <v>9083.7999999999993</v>
      </c>
      <c r="J51" s="56"/>
    </row>
    <row r="52" spans="1:10" ht="15" customHeight="1" x14ac:dyDescent="0.25">
      <c r="A52" s="54" t="s">
        <v>244</v>
      </c>
      <c r="B52" s="105" t="s">
        <v>4</v>
      </c>
      <c r="C52" s="67"/>
      <c r="D52" s="67" t="s">
        <v>24</v>
      </c>
      <c r="E52" s="76">
        <v>1</v>
      </c>
      <c r="F52" s="54" t="s">
        <v>215</v>
      </c>
      <c r="G52" s="102">
        <v>7691</v>
      </c>
      <c r="H52" s="102">
        <v>1392.8</v>
      </c>
      <c r="I52" s="92">
        <f t="shared" si="3"/>
        <v>9083.7999999999993</v>
      </c>
      <c r="J52" s="56"/>
    </row>
    <row r="53" spans="1:10" ht="15" customHeight="1" x14ac:dyDescent="0.25">
      <c r="A53" s="54" t="s">
        <v>245</v>
      </c>
      <c r="B53" s="105" t="s">
        <v>4</v>
      </c>
      <c r="C53" s="67"/>
      <c r="D53" s="67" t="s">
        <v>24</v>
      </c>
      <c r="E53" s="76">
        <v>1</v>
      </c>
      <c r="F53" s="54" t="s">
        <v>216</v>
      </c>
      <c r="G53" s="102">
        <v>8075.56</v>
      </c>
      <c r="H53" s="102">
        <v>1392.8</v>
      </c>
      <c r="I53" s="92">
        <f t="shared" si="3"/>
        <v>9468.36</v>
      </c>
      <c r="J53" s="56"/>
    </row>
    <row r="54" spans="1:10" ht="15" customHeight="1" x14ac:dyDescent="0.25">
      <c r="A54" s="54" t="s">
        <v>246</v>
      </c>
      <c r="B54" s="105" t="s">
        <v>4</v>
      </c>
      <c r="C54" s="67"/>
      <c r="D54" s="67" t="s">
        <v>24</v>
      </c>
      <c r="E54" s="76">
        <v>1</v>
      </c>
      <c r="F54" s="54" t="s">
        <v>112</v>
      </c>
      <c r="G54" s="102">
        <v>8075.56</v>
      </c>
      <c r="H54" s="102">
        <v>1392.8</v>
      </c>
      <c r="I54" s="92">
        <f t="shared" si="3"/>
        <v>9468.36</v>
      </c>
      <c r="J54" s="56"/>
    </row>
    <row r="55" spans="1:10" ht="15" customHeight="1" x14ac:dyDescent="0.25">
      <c r="A55" s="54" t="s">
        <v>247</v>
      </c>
      <c r="B55" s="105" t="s">
        <v>4</v>
      </c>
      <c r="C55" s="67"/>
      <c r="D55" s="67" t="s">
        <v>24</v>
      </c>
      <c r="E55" s="76">
        <v>1</v>
      </c>
      <c r="F55" s="54" t="s">
        <v>219</v>
      </c>
      <c r="G55" s="102">
        <v>7691</v>
      </c>
      <c r="H55" s="102">
        <v>1392.8</v>
      </c>
      <c r="I55" s="92">
        <f t="shared" si="3"/>
        <v>9083.7999999999993</v>
      </c>
      <c r="J55" s="56"/>
    </row>
    <row r="56" spans="1:10" ht="15" customHeight="1" x14ac:dyDescent="0.25">
      <c r="A56" s="54" t="s">
        <v>248</v>
      </c>
      <c r="B56" s="105" t="s">
        <v>4</v>
      </c>
      <c r="C56" s="67"/>
      <c r="D56" s="67" t="s">
        <v>24</v>
      </c>
      <c r="E56" s="76">
        <v>1</v>
      </c>
      <c r="F56" s="54" t="s">
        <v>113</v>
      </c>
      <c r="G56" s="102">
        <v>2295.89</v>
      </c>
      <c r="H56" s="102">
        <v>1392.8</v>
      </c>
      <c r="I56" s="92">
        <f t="shared" si="3"/>
        <v>3688.6899999999996</v>
      </c>
      <c r="J56" s="56"/>
    </row>
    <row r="57" spans="1:10" ht="15" customHeight="1" x14ac:dyDescent="0.25">
      <c r="A57" s="54" t="s">
        <v>249</v>
      </c>
      <c r="B57" s="105" t="s">
        <v>4</v>
      </c>
      <c r="C57" s="67"/>
      <c r="D57" s="67" t="s">
        <v>24</v>
      </c>
      <c r="E57" s="76">
        <v>1</v>
      </c>
      <c r="F57" s="54" t="s">
        <v>114</v>
      </c>
      <c r="G57" s="102">
        <v>5125.45</v>
      </c>
      <c r="H57" s="102">
        <v>1392.8</v>
      </c>
      <c r="I57" s="92">
        <f>SUM(G57:H57)</f>
        <v>6518.25</v>
      </c>
      <c r="J57" s="56"/>
    </row>
    <row r="58" spans="1:10" ht="15" customHeight="1" x14ac:dyDescent="0.25">
      <c r="A58" s="54" t="s">
        <v>250</v>
      </c>
      <c r="B58" s="105" t="s">
        <v>4</v>
      </c>
      <c r="C58" s="67"/>
      <c r="D58" s="67" t="s">
        <v>24</v>
      </c>
      <c r="E58" s="76">
        <v>1</v>
      </c>
      <c r="F58" s="54" t="s">
        <v>337</v>
      </c>
      <c r="G58" s="102">
        <v>5227.96</v>
      </c>
      <c r="H58" s="102">
        <v>1392.8</v>
      </c>
      <c r="I58" s="92">
        <f t="shared" si="3"/>
        <v>6620.76</v>
      </c>
      <c r="J58" s="56"/>
    </row>
    <row r="59" spans="1:10" ht="15" customHeight="1" x14ac:dyDescent="0.25">
      <c r="A59" s="54" t="s">
        <v>252</v>
      </c>
      <c r="B59" s="105" t="s">
        <v>4</v>
      </c>
      <c r="C59" s="67"/>
      <c r="D59" s="67" t="s">
        <v>24</v>
      </c>
      <c r="E59" s="76">
        <v>1</v>
      </c>
      <c r="F59" s="54" t="s">
        <v>115</v>
      </c>
      <c r="G59" s="102">
        <v>5933.35</v>
      </c>
      <c r="H59" s="102">
        <v>1392.8</v>
      </c>
      <c r="I59" s="92">
        <f t="shared" si="3"/>
        <v>7326.1500000000005</v>
      </c>
      <c r="J59" s="56"/>
    </row>
    <row r="60" spans="1:10" ht="15" customHeight="1" x14ac:dyDescent="0.25">
      <c r="A60" s="54" t="s">
        <v>253</v>
      </c>
      <c r="B60" s="105" t="s">
        <v>4</v>
      </c>
      <c r="C60" s="67"/>
      <c r="D60" s="67" t="s">
        <v>24</v>
      </c>
      <c r="E60" s="76">
        <v>1</v>
      </c>
      <c r="F60" s="54" t="s">
        <v>220</v>
      </c>
      <c r="G60" s="102">
        <v>5125.45</v>
      </c>
      <c r="H60" s="102">
        <v>1392.8</v>
      </c>
      <c r="I60" s="92">
        <f t="shared" si="3"/>
        <v>6518.25</v>
      </c>
      <c r="J60" s="56"/>
    </row>
    <row r="61" spans="1:10" ht="15" customHeight="1" x14ac:dyDescent="0.25">
      <c r="A61" s="54" t="s">
        <v>254</v>
      </c>
      <c r="B61" s="105" t="s">
        <v>4</v>
      </c>
      <c r="C61" s="67"/>
      <c r="D61" s="67" t="s">
        <v>24</v>
      </c>
      <c r="E61" s="76">
        <v>1</v>
      </c>
      <c r="F61" s="54" t="s">
        <v>116</v>
      </c>
      <c r="G61" s="102">
        <v>5404.89</v>
      </c>
      <c r="H61" s="102">
        <v>1392.8</v>
      </c>
      <c r="I61" s="92">
        <f t="shared" si="3"/>
        <v>6797.6900000000005</v>
      </c>
      <c r="J61" s="56"/>
    </row>
    <row r="62" spans="1:10" ht="15" customHeight="1" x14ac:dyDescent="0.25">
      <c r="A62" s="54" t="s">
        <v>255</v>
      </c>
      <c r="B62" s="105" t="s">
        <v>4</v>
      </c>
      <c r="C62" s="67"/>
      <c r="D62" s="67" t="s">
        <v>24</v>
      </c>
      <c r="E62" s="76">
        <v>1</v>
      </c>
      <c r="F62" s="54" t="s">
        <v>261</v>
      </c>
      <c r="G62" s="102">
        <v>5650.81</v>
      </c>
      <c r="H62" s="102">
        <v>1392.8</v>
      </c>
      <c r="I62" s="92">
        <f t="shared" si="3"/>
        <v>7043.6100000000006</v>
      </c>
      <c r="J62" s="56"/>
    </row>
    <row r="63" spans="1:10" ht="15" customHeight="1" x14ac:dyDescent="0.25">
      <c r="A63" s="54" t="s">
        <v>256</v>
      </c>
      <c r="B63" s="105" t="s">
        <v>4</v>
      </c>
      <c r="C63" s="67"/>
      <c r="D63" s="67" t="s">
        <v>117</v>
      </c>
      <c r="E63" s="76">
        <v>1</v>
      </c>
      <c r="F63" s="54" t="s">
        <v>340</v>
      </c>
      <c r="G63" s="102">
        <v>0</v>
      </c>
      <c r="H63" s="102">
        <v>1392.8</v>
      </c>
      <c r="I63" s="92">
        <f t="shared" si="3"/>
        <v>1392.8</v>
      </c>
      <c r="J63" s="56"/>
    </row>
    <row r="64" spans="1:10" ht="15" customHeight="1" x14ac:dyDescent="0.25">
      <c r="A64" s="54" t="s">
        <v>258</v>
      </c>
      <c r="B64" s="105" t="s">
        <v>4</v>
      </c>
      <c r="C64" s="67"/>
      <c r="D64" s="67" t="s">
        <v>24</v>
      </c>
      <c r="E64" s="76">
        <v>1</v>
      </c>
      <c r="F64" s="54" t="s">
        <v>232</v>
      </c>
      <c r="G64" s="102">
        <v>8075.56</v>
      </c>
      <c r="H64" s="102">
        <v>1392.8</v>
      </c>
      <c r="I64" s="92">
        <f t="shared" si="3"/>
        <v>9468.36</v>
      </c>
      <c r="J64" s="56"/>
    </row>
    <row r="65" spans="1:10" ht="15" customHeight="1" x14ac:dyDescent="0.25">
      <c r="A65" s="54" t="s">
        <v>341</v>
      </c>
      <c r="B65" s="105" t="s">
        <v>4</v>
      </c>
      <c r="C65" s="67"/>
      <c r="D65" s="67" t="s">
        <v>24</v>
      </c>
      <c r="E65" s="76">
        <v>1</v>
      </c>
      <c r="F65" s="54" t="s">
        <v>235</v>
      </c>
      <c r="G65" s="102">
        <v>2531.2199999999998</v>
      </c>
      <c r="H65" s="102">
        <v>1392.8</v>
      </c>
      <c r="I65" s="92">
        <f t="shared" si="3"/>
        <v>3924.0199999999995</v>
      </c>
      <c r="J65" s="56"/>
    </row>
    <row r="66" spans="1:10" ht="23.25" customHeight="1" x14ac:dyDescent="0.25">
      <c r="A66" s="54" t="s">
        <v>259</v>
      </c>
      <c r="B66" s="105" t="s">
        <v>5</v>
      </c>
      <c r="C66" s="67"/>
      <c r="D66" s="67" t="s">
        <v>24</v>
      </c>
      <c r="E66" s="76">
        <v>1</v>
      </c>
      <c r="F66" s="54" t="s">
        <v>334</v>
      </c>
      <c r="G66" s="102" t="s">
        <v>301</v>
      </c>
      <c r="H66" s="102" t="s">
        <v>318</v>
      </c>
      <c r="I66" s="92" t="s">
        <v>303</v>
      </c>
      <c r="J66" s="56"/>
    </row>
    <row r="67" spans="1:10" ht="15" customHeight="1" x14ac:dyDescent="0.25">
      <c r="A67" s="54" t="s">
        <v>259</v>
      </c>
      <c r="B67" s="105" t="s">
        <v>5</v>
      </c>
      <c r="C67" s="67"/>
      <c r="D67" s="67" t="s">
        <v>24</v>
      </c>
      <c r="E67" s="76">
        <v>1</v>
      </c>
      <c r="F67" s="104" t="s">
        <v>264</v>
      </c>
      <c r="G67" s="102">
        <v>5404.89</v>
      </c>
      <c r="H67" s="102">
        <v>849.76</v>
      </c>
      <c r="I67" s="92">
        <v>6254.65</v>
      </c>
      <c r="J67" s="56"/>
    </row>
    <row r="68" spans="1:10" ht="15" customHeight="1" x14ac:dyDescent="0.25">
      <c r="A68" s="54" t="s">
        <v>259</v>
      </c>
      <c r="B68" s="105" t="s">
        <v>5</v>
      </c>
      <c r="C68" s="67"/>
      <c r="D68" s="67" t="s">
        <v>24</v>
      </c>
      <c r="E68" s="76">
        <v>1</v>
      </c>
      <c r="F68" s="54" t="s">
        <v>217</v>
      </c>
      <c r="G68" s="102">
        <v>5675.13</v>
      </c>
      <c r="H68" s="102">
        <v>849.76</v>
      </c>
      <c r="I68" s="92">
        <f t="shared" si="3"/>
        <v>6524.89</v>
      </c>
      <c r="J68" s="56"/>
    </row>
    <row r="69" spans="1:10" ht="15" customHeight="1" x14ac:dyDescent="0.25">
      <c r="A69" s="54" t="s">
        <v>260</v>
      </c>
      <c r="B69" s="105" t="s">
        <v>6</v>
      </c>
      <c r="C69" s="67"/>
      <c r="D69" s="67"/>
      <c r="E69" s="76">
        <v>1</v>
      </c>
      <c r="F69" s="106" t="s">
        <v>342</v>
      </c>
      <c r="G69" s="102">
        <v>0</v>
      </c>
      <c r="H69" s="102">
        <v>0</v>
      </c>
      <c r="I69" s="92">
        <f t="shared" si="3"/>
        <v>0</v>
      </c>
      <c r="J69" s="56"/>
    </row>
    <row r="70" spans="1:10" ht="15" customHeight="1" x14ac:dyDescent="0.25">
      <c r="A70" s="54" t="s">
        <v>260</v>
      </c>
      <c r="B70" s="105" t="s">
        <v>6</v>
      </c>
      <c r="C70" s="67"/>
      <c r="D70" s="67" t="s">
        <v>24</v>
      </c>
      <c r="E70" s="76">
        <v>1</v>
      </c>
      <c r="F70" s="54" t="s">
        <v>233</v>
      </c>
      <c r="G70" s="102">
        <v>5046.58</v>
      </c>
      <c r="H70" s="102">
        <v>505.81</v>
      </c>
      <c r="I70" s="92">
        <f t="shared" si="3"/>
        <v>5552.39</v>
      </c>
      <c r="J70" s="56"/>
    </row>
    <row r="71" spans="1:10" ht="15" customHeight="1" x14ac:dyDescent="0.25">
      <c r="A71" s="54" t="s">
        <v>260</v>
      </c>
      <c r="B71" s="105" t="s">
        <v>6</v>
      </c>
      <c r="C71" s="67"/>
      <c r="D71" s="67" t="s">
        <v>117</v>
      </c>
      <c r="E71" s="76">
        <v>1</v>
      </c>
      <c r="F71" s="54" t="s">
        <v>343</v>
      </c>
      <c r="G71" s="102">
        <v>0</v>
      </c>
      <c r="H71" s="102">
        <v>505.81</v>
      </c>
      <c r="I71" s="92">
        <f t="shared" si="3"/>
        <v>505.81</v>
      </c>
      <c r="J71" s="56"/>
    </row>
    <row r="72" spans="1:10" ht="15" customHeight="1" x14ac:dyDescent="0.25">
      <c r="A72" s="54" t="s">
        <v>260</v>
      </c>
      <c r="B72" s="105" t="s">
        <v>6</v>
      </c>
      <c r="C72" s="105"/>
      <c r="D72" s="67" t="s">
        <v>117</v>
      </c>
      <c r="E72" s="76">
        <v>1</v>
      </c>
      <c r="F72" s="88" t="s">
        <v>344</v>
      </c>
      <c r="G72" s="102">
        <v>0</v>
      </c>
      <c r="H72" s="102">
        <v>505.81</v>
      </c>
      <c r="I72" s="92">
        <f t="shared" si="3"/>
        <v>505.81</v>
      </c>
      <c r="J72" s="56"/>
    </row>
    <row r="73" spans="1:10" ht="15" customHeight="1" x14ac:dyDescent="0.25">
      <c r="A73" s="54" t="s">
        <v>260</v>
      </c>
      <c r="B73" s="105" t="s">
        <v>6</v>
      </c>
      <c r="C73" s="105"/>
      <c r="D73" s="67" t="s">
        <v>24</v>
      </c>
      <c r="E73" s="76">
        <v>1</v>
      </c>
      <c r="F73" s="88" t="s">
        <v>304</v>
      </c>
      <c r="G73" s="102">
        <v>5763.82</v>
      </c>
      <c r="H73" s="102">
        <v>505.81</v>
      </c>
      <c r="I73" s="92">
        <f t="shared" si="3"/>
        <v>6269.63</v>
      </c>
      <c r="J73" s="56"/>
    </row>
    <row r="74" spans="1:10" ht="15" customHeight="1" x14ac:dyDescent="0.25">
      <c r="A74" s="104" t="s">
        <v>262</v>
      </c>
      <c r="B74" s="105" t="s">
        <v>7</v>
      </c>
      <c r="C74" s="105"/>
      <c r="D74" s="67" t="s">
        <v>24</v>
      </c>
      <c r="E74" s="76">
        <v>1</v>
      </c>
      <c r="F74" s="104" t="s">
        <v>229</v>
      </c>
      <c r="G74" s="102">
        <v>7691</v>
      </c>
      <c r="H74" s="102">
        <v>465.35</v>
      </c>
      <c r="I74" s="92">
        <f t="shared" si="3"/>
        <v>8156.35</v>
      </c>
      <c r="J74" s="56"/>
    </row>
    <row r="75" spans="1:10" ht="15" customHeight="1" x14ac:dyDescent="0.25">
      <c r="A75" s="104" t="s">
        <v>262</v>
      </c>
      <c r="B75" s="105" t="s">
        <v>7</v>
      </c>
      <c r="C75" s="105"/>
      <c r="D75" s="67" t="s">
        <v>117</v>
      </c>
      <c r="E75" s="76">
        <v>1</v>
      </c>
      <c r="F75" s="104" t="s">
        <v>345</v>
      </c>
      <c r="G75" s="102">
        <v>0</v>
      </c>
      <c r="H75" s="102">
        <v>465.35</v>
      </c>
      <c r="I75" s="92">
        <f t="shared" si="3"/>
        <v>465.35</v>
      </c>
      <c r="J75" s="56"/>
    </row>
    <row r="76" spans="1:10" ht="15" customHeight="1" x14ac:dyDescent="0.25">
      <c r="A76" s="104" t="s">
        <v>262</v>
      </c>
      <c r="B76" s="105" t="s">
        <v>7</v>
      </c>
      <c r="C76" s="105"/>
      <c r="D76" s="67"/>
      <c r="E76" s="76">
        <v>1</v>
      </c>
      <c r="F76" s="106" t="s">
        <v>346</v>
      </c>
      <c r="G76" s="102">
        <v>0</v>
      </c>
      <c r="H76" s="102">
        <v>0</v>
      </c>
      <c r="I76" s="92">
        <f t="shared" si="3"/>
        <v>0</v>
      </c>
      <c r="J76" s="56"/>
    </row>
    <row r="77" spans="1:10" ht="15" customHeight="1" x14ac:dyDescent="0.25">
      <c r="A77" s="104" t="s">
        <v>262</v>
      </c>
      <c r="B77" s="105" t="s">
        <v>7</v>
      </c>
      <c r="C77" s="105"/>
      <c r="D77" s="67" t="s">
        <v>117</v>
      </c>
      <c r="E77" s="76">
        <v>1</v>
      </c>
      <c r="F77" s="104" t="s">
        <v>347</v>
      </c>
      <c r="G77" s="102">
        <v>0</v>
      </c>
      <c r="H77" s="102">
        <v>465.35</v>
      </c>
      <c r="I77" s="92">
        <f t="shared" si="3"/>
        <v>465.35</v>
      </c>
      <c r="J77" s="56"/>
    </row>
    <row r="78" spans="1:10" ht="15" customHeight="1" x14ac:dyDescent="0.25">
      <c r="A78" s="104" t="s">
        <v>262</v>
      </c>
      <c r="B78" s="105" t="s">
        <v>7</v>
      </c>
      <c r="C78" s="105"/>
      <c r="D78" s="67" t="s">
        <v>24</v>
      </c>
      <c r="E78" s="76">
        <v>1</v>
      </c>
      <c r="F78" s="104" t="s">
        <v>305</v>
      </c>
      <c r="G78" s="102">
        <v>5563.85</v>
      </c>
      <c r="H78" s="102">
        <v>465.35</v>
      </c>
      <c r="I78" s="92">
        <f t="shared" si="3"/>
        <v>6029.2000000000007</v>
      </c>
      <c r="J78" s="56"/>
    </row>
    <row r="79" spans="1:10" ht="15" customHeight="1" x14ac:dyDescent="0.25">
      <c r="A79" s="104" t="s">
        <v>262</v>
      </c>
      <c r="B79" s="105" t="s">
        <v>7</v>
      </c>
      <c r="C79" s="105"/>
      <c r="D79" s="67" t="s">
        <v>24</v>
      </c>
      <c r="E79" s="76">
        <v>1</v>
      </c>
      <c r="F79" s="104" t="s">
        <v>273</v>
      </c>
      <c r="G79" s="102">
        <v>4440.25</v>
      </c>
      <c r="H79" s="102">
        <v>465.35</v>
      </c>
      <c r="I79" s="92">
        <f t="shared" si="3"/>
        <v>4905.6000000000004</v>
      </c>
      <c r="J79" s="56"/>
    </row>
    <row r="80" spans="1:10" ht="15" customHeight="1" x14ac:dyDescent="0.25">
      <c r="A80" s="104" t="s">
        <v>262</v>
      </c>
      <c r="B80" s="105" t="s">
        <v>7</v>
      </c>
      <c r="C80" s="105"/>
      <c r="D80" s="67" t="s">
        <v>117</v>
      </c>
      <c r="E80" s="76">
        <v>1</v>
      </c>
      <c r="F80" s="104" t="s">
        <v>348</v>
      </c>
      <c r="G80" s="102">
        <v>0</v>
      </c>
      <c r="H80" s="102">
        <v>465.35</v>
      </c>
      <c r="I80" s="92">
        <f t="shared" si="3"/>
        <v>465.35</v>
      </c>
      <c r="J80" s="56"/>
    </row>
    <row r="81" spans="1:10" ht="33.75" x14ac:dyDescent="0.25">
      <c r="A81" s="72" t="s">
        <v>120</v>
      </c>
      <c r="B81" s="72" t="s">
        <v>121</v>
      </c>
      <c r="C81" s="73" t="s">
        <v>122</v>
      </c>
      <c r="D81" s="73" t="s">
        <v>123</v>
      </c>
      <c r="E81" s="73" t="s">
        <v>124</v>
      </c>
      <c r="F81" s="90"/>
      <c r="G81" s="73" t="s">
        <v>125</v>
      </c>
      <c r="H81" s="73" t="s">
        <v>126</v>
      </c>
      <c r="I81" s="73" t="s">
        <v>127</v>
      </c>
      <c r="J81" s="56"/>
    </row>
    <row r="82" spans="1:10" x14ac:dyDescent="0.25">
      <c r="A82" s="75" t="s">
        <v>128</v>
      </c>
      <c r="B82" s="91" t="s">
        <v>4</v>
      </c>
      <c r="C82" s="77">
        <v>23</v>
      </c>
      <c r="D82" s="77">
        <v>0</v>
      </c>
      <c r="E82" s="77">
        <v>23</v>
      </c>
      <c r="F82" s="78"/>
      <c r="G82" s="92">
        <v>138497.26</v>
      </c>
      <c r="H82" s="92">
        <v>32234.400000000001</v>
      </c>
      <c r="I82" s="92">
        <v>170731.66</v>
      </c>
      <c r="J82" s="56"/>
    </row>
    <row r="83" spans="1:10" ht="39.75" customHeight="1" x14ac:dyDescent="0.25">
      <c r="A83" s="75" t="s">
        <v>129</v>
      </c>
      <c r="B83" s="91" t="s">
        <v>130</v>
      </c>
      <c r="C83" s="77">
        <f>SUMIFS($E$48:$E$83,$B$48:$B$83,"FGS-2",$D$48:$D$83,"&lt;&gt;VAGO")</f>
        <v>3</v>
      </c>
      <c r="D83" s="77">
        <f>SUMIFS($E$48:$E$83,$B$48:$B$83,"FGS-2",$D$48:$D$83,"VAGO")</f>
        <v>0</v>
      </c>
      <c r="E83" s="77">
        <f t="shared" ref="E83:E87" si="4">C83+D83</f>
        <v>3</v>
      </c>
      <c r="F83" s="61" t="s">
        <v>331</v>
      </c>
      <c r="G83" s="92">
        <v>25123.200000000001</v>
      </c>
      <c r="H83" s="92">
        <v>3399.04</v>
      </c>
      <c r="I83" s="92">
        <v>28522.240000000002</v>
      </c>
      <c r="J83" s="56"/>
    </row>
    <row r="84" spans="1:10" x14ac:dyDescent="0.25">
      <c r="A84" s="75" t="s">
        <v>131</v>
      </c>
      <c r="B84" s="91" t="s">
        <v>132</v>
      </c>
      <c r="C84" s="77">
        <f>SUMIFS($E$48:$E$83,$B$48:$B$83,"FGS-3",$D$48:$D$83,"&lt;&gt;VAGO")</f>
        <v>0</v>
      </c>
      <c r="D84" s="77">
        <f>SUMIFS($E$48:$E$83,$B$48:$B$83,"FGS-3",$D$48:$D$83,"VAGO")</f>
        <v>0</v>
      </c>
      <c r="E84" s="77">
        <f t="shared" si="4"/>
        <v>0</v>
      </c>
      <c r="F84" s="61"/>
      <c r="G84" s="92">
        <f>SUMIF($B$48:$B$83,"FGS-3",$G$48:$G$83)</f>
        <v>0</v>
      </c>
      <c r="H84" s="92">
        <f>SUMIF($B$48:$B$83,"FGS-3",$G$48:$G$83)</f>
        <v>0</v>
      </c>
      <c r="I84" s="92">
        <f>SUMIF($B$48:$B$83,"FGS-3",$G$48:$G$83)</f>
        <v>0</v>
      </c>
      <c r="J84" s="56"/>
    </row>
    <row r="85" spans="1:10" x14ac:dyDescent="0.25">
      <c r="A85" s="81" t="s">
        <v>133</v>
      </c>
      <c r="B85" s="107" t="s">
        <v>134</v>
      </c>
      <c r="C85" s="77">
        <v>4</v>
      </c>
      <c r="D85" s="77">
        <v>1</v>
      </c>
      <c r="E85" s="77">
        <f t="shared" si="4"/>
        <v>5</v>
      </c>
      <c r="F85" s="82"/>
      <c r="G85" s="92">
        <v>10810.4</v>
      </c>
      <c r="H85" s="92">
        <v>2023.14</v>
      </c>
      <c r="I85" s="92">
        <v>12833.54</v>
      </c>
      <c r="J85" s="56"/>
    </row>
    <row r="86" spans="1:10" x14ac:dyDescent="0.25">
      <c r="A86" s="75" t="s">
        <v>135</v>
      </c>
      <c r="B86" s="91" t="s">
        <v>7</v>
      </c>
      <c r="C86" s="77">
        <v>6</v>
      </c>
      <c r="D86" s="77">
        <v>1</v>
      </c>
      <c r="E86" s="77">
        <v>7</v>
      </c>
      <c r="F86" s="82"/>
      <c r="G86" s="92">
        <v>17695.099999999999</v>
      </c>
      <c r="H86" s="92">
        <v>2792.1</v>
      </c>
      <c r="I86" s="92">
        <v>20487.2</v>
      </c>
      <c r="J86" s="56"/>
    </row>
    <row r="87" spans="1:10" x14ac:dyDescent="0.25">
      <c r="A87" s="75" t="s">
        <v>136</v>
      </c>
      <c r="B87" s="91" t="s">
        <v>137</v>
      </c>
      <c r="C87" s="77">
        <f>SUMIFS($E$48:$E$83,$B$48:$B$83,"FGA-3",$D$48:$D$83,"&lt;&gt;VAGO")</f>
        <v>0</v>
      </c>
      <c r="D87" s="77">
        <f>SUMIFS($E$48:$E$83,$B$48:$B$83,"FGA-3",$D$48:$D$83,"VAGO")</f>
        <v>0</v>
      </c>
      <c r="E87" s="77">
        <f t="shared" si="4"/>
        <v>0</v>
      </c>
      <c r="F87" s="61"/>
      <c r="G87" s="92">
        <f>SUMIF($B$48:$B$83,"FGA-3",$G$48:$G$83)</f>
        <v>0</v>
      </c>
      <c r="H87" s="92">
        <f>SUMIF($B$48:$B$83,"FGA-3",$G$48:$G$83)</f>
        <v>0</v>
      </c>
      <c r="I87" s="92">
        <f>SUMIF($B$48:$B$83,"FGA-3",$G$48:$G$83)</f>
        <v>0</v>
      </c>
      <c r="J87" s="56"/>
    </row>
    <row r="88" spans="1:10" ht="22.5" x14ac:dyDescent="0.25">
      <c r="A88" s="72" t="s">
        <v>138</v>
      </c>
      <c r="B88" s="90"/>
      <c r="C88" s="73">
        <f t="shared" ref="C88:E88" si="5">SUM(C82:C87)</f>
        <v>36</v>
      </c>
      <c r="D88" s="73">
        <f t="shared" si="5"/>
        <v>2</v>
      </c>
      <c r="E88" s="73">
        <f t="shared" si="5"/>
        <v>38</v>
      </c>
      <c r="F88" s="90"/>
      <c r="G88" s="93">
        <f>SUM(G82:G87)</f>
        <v>192125.96000000002</v>
      </c>
      <c r="H88" s="93">
        <f>SUM(H82:H87)</f>
        <v>40448.68</v>
      </c>
      <c r="I88" s="93">
        <f>SUM(I82:I87)</f>
        <v>232574.64</v>
      </c>
      <c r="J88" s="56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108"/>
      <c r="J89" s="56"/>
    </row>
    <row r="90" spans="1:10" ht="45" x14ac:dyDescent="0.25">
      <c r="A90" s="72"/>
      <c r="B90" s="72"/>
      <c r="C90" s="73" t="s">
        <v>139</v>
      </c>
      <c r="D90" s="73" t="s">
        <v>140</v>
      </c>
      <c r="E90" s="73" t="s">
        <v>141</v>
      </c>
      <c r="F90" s="83"/>
      <c r="G90" s="73" t="s">
        <v>142</v>
      </c>
      <c r="H90" s="73" t="s">
        <v>143</v>
      </c>
      <c r="I90" s="73" t="s">
        <v>144</v>
      </c>
      <c r="J90" s="56"/>
    </row>
    <row r="91" spans="1:10" ht="22.5" x14ac:dyDescent="0.25">
      <c r="A91" s="72" t="s">
        <v>145</v>
      </c>
      <c r="B91" s="83"/>
      <c r="C91" s="73">
        <v>47</v>
      </c>
      <c r="D91" s="73">
        <v>2</v>
      </c>
      <c r="E91" s="73">
        <v>49</v>
      </c>
      <c r="F91" s="83"/>
      <c r="G91" s="93">
        <f>SUM(H25+G39+G88)</f>
        <v>227978.2</v>
      </c>
      <c r="H91" s="93">
        <f>SUM(I25+H39+H88)</f>
        <v>81354.58</v>
      </c>
      <c r="I91" s="93">
        <v>303683.28000000003</v>
      </c>
      <c r="J91" s="56"/>
    </row>
    <row r="92" spans="1:10" x14ac:dyDescent="0.25">
      <c r="A92" s="85"/>
      <c r="B92" s="85"/>
      <c r="C92" s="85"/>
      <c r="D92" s="85"/>
      <c r="E92" s="85"/>
      <c r="F92" s="85"/>
      <c r="G92" s="85"/>
      <c r="H92" s="85"/>
      <c r="I92" s="108"/>
      <c r="J92" s="56"/>
    </row>
    <row r="93" spans="1:10" x14ac:dyDescent="0.25">
      <c r="A93" s="172" t="s">
        <v>146</v>
      </c>
      <c r="B93" s="173"/>
      <c r="C93" s="173"/>
      <c r="D93" s="173"/>
      <c r="E93" s="173"/>
      <c r="F93" s="174"/>
      <c r="G93" s="86"/>
      <c r="H93" s="85"/>
      <c r="I93" s="85"/>
      <c r="J93" s="56"/>
    </row>
    <row r="94" spans="1:10" x14ac:dyDescent="0.25">
      <c r="A94" s="131" t="s">
        <v>147</v>
      </c>
      <c r="B94" s="152"/>
      <c r="C94" s="152"/>
      <c r="D94" s="152"/>
      <c r="E94" s="152"/>
      <c r="F94" s="153"/>
      <c r="G94" s="86"/>
      <c r="H94" s="85"/>
      <c r="I94" s="85"/>
      <c r="J94" s="56"/>
    </row>
    <row r="95" spans="1:10" x14ac:dyDescent="0.25">
      <c r="A95" s="131" t="s">
        <v>148</v>
      </c>
      <c r="B95" s="152"/>
      <c r="C95" s="152"/>
      <c r="D95" s="152"/>
      <c r="E95" s="152"/>
      <c r="F95" s="153"/>
      <c r="G95" s="86"/>
      <c r="H95" s="85"/>
      <c r="I95" s="85"/>
      <c r="J95" s="56"/>
    </row>
    <row r="96" spans="1:10" x14ac:dyDescent="0.25">
      <c r="A96" s="124" t="s">
        <v>149</v>
      </c>
      <c r="B96" s="164"/>
      <c r="C96" s="164"/>
      <c r="D96" s="164"/>
      <c r="E96" s="164"/>
      <c r="F96" s="165"/>
      <c r="G96" s="86"/>
      <c r="H96" s="85"/>
      <c r="I96" s="85"/>
      <c r="J96" s="56"/>
    </row>
    <row r="97" spans="1:10" x14ac:dyDescent="0.25">
      <c r="A97" s="124" t="s">
        <v>150</v>
      </c>
      <c r="B97" s="164"/>
      <c r="C97" s="164"/>
      <c r="D97" s="164"/>
      <c r="E97" s="164"/>
      <c r="F97" s="165"/>
      <c r="G97" s="86"/>
      <c r="H97" s="85"/>
      <c r="I97" s="85"/>
      <c r="J97" s="56"/>
    </row>
    <row r="98" spans="1:10" x14ac:dyDescent="0.25">
      <c r="A98" s="124" t="s">
        <v>151</v>
      </c>
      <c r="B98" s="164"/>
      <c r="C98" s="164"/>
      <c r="D98" s="164"/>
      <c r="E98" s="164"/>
      <c r="F98" s="165"/>
      <c r="G98" s="86"/>
      <c r="H98" s="85"/>
      <c r="I98" s="85"/>
      <c r="J98" s="56"/>
    </row>
    <row r="99" spans="1:10" x14ac:dyDescent="0.25">
      <c r="A99" s="124" t="s">
        <v>228</v>
      </c>
      <c r="B99" s="164"/>
      <c r="C99" s="164"/>
      <c r="D99" s="164"/>
      <c r="E99" s="164"/>
      <c r="F99" s="165"/>
      <c r="G99" s="86"/>
      <c r="H99" s="85"/>
      <c r="I99" s="85"/>
      <c r="J99" s="56"/>
    </row>
    <row r="100" spans="1:10" x14ac:dyDescent="0.25">
      <c r="A100" s="124" t="s">
        <v>234</v>
      </c>
      <c r="B100" s="164"/>
      <c r="C100" s="164"/>
      <c r="D100" s="164"/>
      <c r="E100" s="164"/>
      <c r="F100" s="165"/>
      <c r="G100" s="86"/>
      <c r="H100" s="85"/>
      <c r="I100" s="85"/>
      <c r="J100" s="56"/>
    </row>
    <row r="101" spans="1:10" x14ac:dyDescent="0.25">
      <c r="A101" s="124" t="s">
        <v>265</v>
      </c>
      <c r="B101" s="164"/>
      <c r="C101" s="164"/>
      <c r="D101" s="164"/>
      <c r="E101" s="164"/>
      <c r="F101" s="165"/>
      <c r="G101" s="86"/>
      <c r="H101" s="85"/>
      <c r="I101" s="85"/>
      <c r="J101" s="56"/>
    </row>
    <row r="102" spans="1:10" x14ac:dyDescent="0.25">
      <c r="A102" s="178"/>
      <c r="B102" s="179"/>
      <c r="C102" s="179"/>
      <c r="D102" s="179"/>
      <c r="E102" s="179"/>
      <c r="F102" s="180"/>
      <c r="G102" s="86"/>
      <c r="H102" s="85"/>
      <c r="I102" s="85"/>
      <c r="J102" s="56"/>
    </row>
    <row r="103" spans="1:10" x14ac:dyDescent="0.25">
      <c r="A103" s="178"/>
      <c r="B103" s="179"/>
      <c r="C103" s="179"/>
      <c r="D103" s="179"/>
      <c r="E103" s="179"/>
      <c r="F103" s="180"/>
      <c r="G103" s="86"/>
      <c r="H103" s="85"/>
      <c r="I103" s="85"/>
      <c r="J103" s="56"/>
    </row>
    <row r="104" spans="1:10" x14ac:dyDescent="0.25">
      <c r="A104" s="178"/>
      <c r="B104" s="179"/>
      <c r="C104" s="179"/>
      <c r="D104" s="179"/>
      <c r="E104" s="179"/>
      <c r="F104" s="180"/>
      <c r="G104" s="86"/>
      <c r="H104" s="85"/>
      <c r="I104" s="85"/>
      <c r="J104" s="56"/>
    </row>
    <row r="105" spans="1:10" x14ac:dyDescent="0.25">
      <c r="A105" s="181"/>
      <c r="B105" s="182"/>
      <c r="C105" s="182"/>
      <c r="D105" s="182"/>
      <c r="E105" s="182"/>
      <c r="F105" s="183"/>
      <c r="G105" s="86"/>
      <c r="H105" s="85"/>
      <c r="I105" s="85"/>
      <c r="J105" s="56"/>
    </row>
    <row r="106" spans="1:10" x14ac:dyDescent="0.25">
      <c r="A106" s="184"/>
      <c r="B106" s="185"/>
      <c r="C106" s="185"/>
      <c r="D106" s="185"/>
      <c r="E106" s="185"/>
      <c r="F106" s="186"/>
      <c r="G106" s="86"/>
      <c r="H106" s="85"/>
      <c r="I106" s="85"/>
      <c r="J106" s="56"/>
    </row>
    <row r="107" spans="1:10" x14ac:dyDescent="0.25">
      <c r="A107" s="187" t="s">
        <v>152</v>
      </c>
      <c r="B107" s="188"/>
      <c r="C107" s="188"/>
      <c r="D107" s="188"/>
      <c r="E107" s="188"/>
      <c r="F107" s="189"/>
      <c r="G107" s="86"/>
      <c r="H107" s="85"/>
      <c r="I107" s="85"/>
      <c r="J107" s="56"/>
    </row>
    <row r="108" spans="1:10" x14ac:dyDescent="0.25">
      <c r="A108" s="190" t="s">
        <v>153</v>
      </c>
      <c r="B108" s="191"/>
      <c r="C108" s="191"/>
      <c r="D108" s="191"/>
      <c r="E108" s="191"/>
      <c r="F108" s="192"/>
      <c r="G108" s="86"/>
      <c r="H108" s="85"/>
      <c r="I108" s="85"/>
      <c r="J108" s="56"/>
    </row>
    <row r="109" spans="1:10" x14ac:dyDescent="0.25">
      <c r="A109" s="175" t="s">
        <v>154</v>
      </c>
      <c r="B109" s="176"/>
      <c r="C109" s="176"/>
      <c r="D109" s="176"/>
      <c r="E109" s="176"/>
      <c r="F109" s="177"/>
      <c r="G109" s="86"/>
      <c r="H109" s="85"/>
      <c r="I109" s="85"/>
      <c r="J109" s="56"/>
    </row>
    <row r="110" spans="1:10" x14ac:dyDescent="0.25">
      <c r="A110" s="175" t="s">
        <v>155</v>
      </c>
      <c r="B110" s="176"/>
      <c r="C110" s="176"/>
      <c r="D110" s="176"/>
      <c r="E110" s="176"/>
      <c r="F110" s="177"/>
      <c r="G110" s="86"/>
      <c r="H110" s="85"/>
      <c r="I110" s="85"/>
      <c r="J110" s="56"/>
    </row>
    <row r="111" spans="1:10" x14ac:dyDescent="0.25">
      <c r="A111" s="175" t="s">
        <v>156</v>
      </c>
      <c r="B111" s="176"/>
      <c r="C111" s="176"/>
      <c r="D111" s="176"/>
      <c r="E111" s="176"/>
      <c r="F111" s="177"/>
      <c r="G111" s="86"/>
      <c r="H111" s="85"/>
      <c r="I111" s="85"/>
      <c r="J111" s="56"/>
    </row>
    <row r="112" spans="1:10" x14ac:dyDescent="0.25">
      <c r="A112" s="175" t="s">
        <v>157</v>
      </c>
      <c r="B112" s="176"/>
      <c r="C112" s="176"/>
      <c r="D112" s="176"/>
      <c r="E112" s="176"/>
      <c r="F112" s="177"/>
      <c r="G112" s="86"/>
      <c r="H112" s="85"/>
      <c r="I112" s="85"/>
      <c r="J112" s="56"/>
    </row>
    <row r="113" spans="1:10" x14ac:dyDescent="0.25">
      <c r="A113" s="175" t="s">
        <v>158</v>
      </c>
      <c r="B113" s="176"/>
      <c r="C113" s="176"/>
      <c r="D113" s="176"/>
      <c r="E113" s="176"/>
      <c r="F113" s="177"/>
      <c r="G113" s="86"/>
      <c r="H113" s="85"/>
      <c r="I113" s="85"/>
      <c r="J113" s="56"/>
    </row>
    <row r="114" spans="1:10" x14ac:dyDescent="0.25">
      <c r="A114" s="175" t="s">
        <v>159</v>
      </c>
      <c r="B114" s="176"/>
      <c r="C114" s="176"/>
      <c r="D114" s="176"/>
      <c r="E114" s="176"/>
      <c r="F114" s="177"/>
      <c r="G114" s="86"/>
      <c r="H114" s="85"/>
      <c r="I114" s="85"/>
      <c r="J114" s="56"/>
    </row>
    <row r="115" spans="1:10" x14ac:dyDescent="0.25">
      <c r="A115" s="175" t="s">
        <v>160</v>
      </c>
      <c r="B115" s="176"/>
      <c r="C115" s="176"/>
      <c r="D115" s="176"/>
      <c r="E115" s="176"/>
      <c r="F115" s="177"/>
      <c r="G115" s="86"/>
      <c r="H115" s="85"/>
      <c r="I115" s="85"/>
      <c r="J115" s="56"/>
    </row>
    <row r="116" spans="1:10" x14ac:dyDescent="0.25">
      <c r="A116" s="175" t="s">
        <v>161</v>
      </c>
      <c r="B116" s="176"/>
      <c r="C116" s="176"/>
      <c r="D116" s="176"/>
      <c r="E116" s="176"/>
      <c r="F116" s="177"/>
      <c r="G116" s="86"/>
      <c r="H116" s="85"/>
      <c r="I116" s="85"/>
      <c r="J116" s="56"/>
    </row>
    <row r="117" spans="1:10" x14ac:dyDescent="0.25">
      <c r="A117" s="175" t="s">
        <v>162</v>
      </c>
      <c r="B117" s="176"/>
      <c r="C117" s="176"/>
      <c r="D117" s="176"/>
      <c r="E117" s="176"/>
      <c r="F117" s="177"/>
      <c r="G117" s="86"/>
      <c r="H117" s="85"/>
      <c r="I117" s="85"/>
      <c r="J117" s="56"/>
    </row>
    <row r="118" spans="1:10" x14ac:dyDescent="0.25">
      <c r="A118" s="175" t="s">
        <v>163</v>
      </c>
      <c r="B118" s="176"/>
      <c r="C118" s="176"/>
      <c r="D118" s="176"/>
      <c r="E118" s="176"/>
      <c r="F118" s="177"/>
      <c r="G118" s="86"/>
      <c r="H118" s="85"/>
      <c r="I118" s="85"/>
      <c r="J118" s="56"/>
    </row>
    <row r="119" spans="1:10" x14ac:dyDescent="0.25">
      <c r="A119" s="175" t="s">
        <v>164</v>
      </c>
      <c r="B119" s="176"/>
      <c r="C119" s="176"/>
      <c r="D119" s="176"/>
      <c r="E119" s="176"/>
      <c r="F119" s="177"/>
      <c r="G119" s="86"/>
      <c r="H119" s="85"/>
      <c r="I119" s="85"/>
      <c r="J119" s="56"/>
    </row>
    <row r="120" spans="1:10" x14ac:dyDescent="0.25">
      <c r="A120" s="175" t="s">
        <v>165</v>
      </c>
      <c r="B120" s="176"/>
      <c r="C120" s="176"/>
      <c r="D120" s="176"/>
      <c r="E120" s="176"/>
      <c r="F120" s="177"/>
      <c r="G120" s="86"/>
      <c r="H120" s="85"/>
      <c r="I120" s="85"/>
      <c r="J120" s="56"/>
    </row>
    <row r="121" spans="1:10" x14ac:dyDescent="0.25">
      <c r="A121" s="175" t="s">
        <v>166</v>
      </c>
      <c r="B121" s="176"/>
      <c r="C121" s="176"/>
      <c r="D121" s="176"/>
      <c r="E121" s="176"/>
      <c r="F121" s="177"/>
      <c r="G121" s="86"/>
      <c r="H121" s="85"/>
      <c r="I121" s="85"/>
      <c r="J121" s="56"/>
    </row>
    <row r="122" spans="1:10" x14ac:dyDescent="0.25">
      <c r="A122" s="175" t="s">
        <v>167</v>
      </c>
      <c r="B122" s="176"/>
      <c r="C122" s="176"/>
      <c r="D122" s="176"/>
      <c r="E122" s="176"/>
      <c r="F122" s="177"/>
      <c r="G122" s="86"/>
      <c r="H122" s="85"/>
      <c r="I122" s="85"/>
      <c r="J122" s="56"/>
    </row>
    <row r="123" spans="1:10" x14ac:dyDescent="0.25">
      <c r="A123" s="175" t="s">
        <v>168</v>
      </c>
      <c r="B123" s="176"/>
      <c r="C123" s="176"/>
      <c r="D123" s="176"/>
      <c r="E123" s="176"/>
      <c r="F123" s="177"/>
      <c r="G123" s="86"/>
      <c r="H123" s="85"/>
      <c r="I123" s="85"/>
      <c r="J123" s="56"/>
    </row>
    <row r="124" spans="1:10" x14ac:dyDescent="0.25">
      <c r="A124" s="175" t="s">
        <v>169</v>
      </c>
      <c r="B124" s="176"/>
      <c r="C124" s="176"/>
      <c r="D124" s="176"/>
      <c r="E124" s="176"/>
      <c r="F124" s="177"/>
      <c r="G124" s="86"/>
      <c r="H124" s="85"/>
      <c r="I124" s="85"/>
      <c r="J124" s="56"/>
    </row>
    <row r="125" spans="1:10" x14ac:dyDescent="0.25">
      <c r="A125" s="175" t="s">
        <v>170</v>
      </c>
      <c r="B125" s="176"/>
      <c r="C125" s="176"/>
      <c r="D125" s="176"/>
      <c r="E125" s="176"/>
      <c r="F125" s="177"/>
      <c r="G125" s="86"/>
      <c r="H125" s="85"/>
      <c r="I125" s="85"/>
      <c r="J125" s="56"/>
    </row>
    <row r="126" spans="1:10" x14ac:dyDescent="0.25">
      <c r="A126" s="175" t="s">
        <v>171</v>
      </c>
      <c r="B126" s="176"/>
      <c r="C126" s="176"/>
      <c r="D126" s="176"/>
      <c r="E126" s="176"/>
      <c r="F126" s="177"/>
      <c r="G126" s="86"/>
      <c r="H126" s="85"/>
      <c r="I126" s="85"/>
      <c r="J126" s="56"/>
    </row>
    <row r="127" spans="1:10" x14ac:dyDescent="0.25">
      <c r="A127" s="175" t="s">
        <v>172</v>
      </c>
      <c r="B127" s="176"/>
      <c r="C127" s="176"/>
      <c r="D127" s="176"/>
      <c r="E127" s="176"/>
      <c r="F127" s="177"/>
      <c r="G127" s="86"/>
      <c r="H127" s="85"/>
      <c r="I127" s="85"/>
      <c r="J127" s="56"/>
    </row>
    <row r="128" spans="1:10" x14ac:dyDescent="0.25">
      <c r="A128" s="175" t="s">
        <v>173</v>
      </c>
      <c r="B128" s="176"/>
      <c r="C128" s="176"/>
      <c r="D128" s="176"/>
      <c r="E128" s="176"/>
      <c r="F128" s="177"/>
      <c r="G128" s="86"/>
      <c r="H128" s="85"/>
      <c r="I128" s="85"/>
      <c r="J128" s="56"/>
    </row>
    <row r="129" spans="1:10" x14ac:dyDescent="0.25">
      <c r="A129" s="175" t="s">
        <v>174</v>
      </c>
      <c r="B129" s="176"/>
      <c r="C129" s="176"/>
      <c r="D129" s="176"/>
      <c r="E129" s="176"/>
      <c r="F129" s="177"/>
      <c r="G129" s="86"/>
      <c r="H129" s="85"/>
      <c r="I129" s="85"/>
      <c r="J129" s="56"/>
    </row>
    <row r="130" spans="1:10" x14ac:dyDescent="0.25">
      <c r="A130" s="175" t="s">
        <v>175</v>
      </c>
      <c r="B130" s="176"/>
      <c r="C130" s="176"/>
      <c r="D130" s="176"/>
      <c r="E130" s="176"/>
      <c r="F130" s="177"/>
      <c r="G130" s="86"/>
      <c r="H130" s="85"/>
      <c r="I130" s="85"/>
      <c r="J130" s="56"/>
    </row>
    <row r="131" spans="1:10" x14ac:dyDescent="0.25">
      <c r="A131" s="175" t="s">
        <v>176</v>
      </c>
      <c r="B131" s="176"/>
      <c r="C131" s="176"/>
      <c r="D131" s="176"/>
      <c r="E131" s="176"/>
      <c r="F131" s="177"/>
      <c r="G131" s="86"/>
      <c r="H131" s="85"/>
      <c r="I131" s="85"/>
      <c r="J131" s="56"/>
    </row>
    <row r="132" spans="1:10" x14ac:dyDescent="0.25">
      <c r="A132" s="175" t="s">
        <v>177</v>
      </c>
      <c r="B132" s="176"/>
      <c r="C132" s="176"/>
      <c r="D132" s="176"/>
      <c r="E132" s="176"/>
      <c r="F132" s="177"/>
      <c r="G132" s="86"/>
      <c r="H132" s="85"/>
      <c r="I132" s="85"/>
      <c r="J132" s="56"/>
    </row>
    <row r="133" spans="1:10" x14ac:dyDescent="0.25">
      <c r="A133" s="175" t="s">
        <v>178</v>
      </c>
      <c r="B133" s="176"/>
      <c r="C133" s="176"/>
      <c r="D133" s="176"/>
      <c r="E133" s="176"/>
      <c r="F133" s="177"/>
      <c r="G133" s="86"/>
      <c r="H133" s="85"/>
      <c r="I133" s="85"/>
      <c r="J133" s="56"/>
    </row>
    <row r="134" spans="1:10" x14ac:dyDescent="0.25">
      <c r="A134" s="175" t="s">
        <v>179</v>
      </c>
      <c r="B134" s="176"/>
      <c r="C134" s="176"/>
      <c r="D134" s="176"/>
      <c r="E134" s="176"/>
      <c r="F134" s="177"/>
      <c r="G134" s="86"/>
      <c r="H134" s="85"/>
      <c r="I134" s="85"/>
      <c r="J134" s="56"/>
    </row>
    <row r="135" spans="1:10" x14ac:dyDescent="0.25">
      <c r="A135" s="175" t="s">
        <v>180</v>
      </c>
      <c r="B135" s="176"/>
      <c r="C135" s="176"/>
      <c r="D135" s="176"/>
      <c r="E135" s="176"/>
      <c r="F135" s="177"/>
      <c r="G135" s="86"/>
      <c r="H135" s="85"/>
      <c r="I135" s="85"/>
      <c r="J135" s="56"/>
    </row>
    <row r="136" spans="1:10" x14ac:dyDescent="0.25">
      <c r="A136" s="175" t="s">
        <v>181</v>
      </c>
      <c r="B136" s="176"/>
      <c r="C136" s="176"/>
      <c r="D136" s="176"/>
      <c r="E136" s="176"/>
      <c r="F136" s="177"/>
      <c r="G136" s="86"/>
      <c r="H136" s="85"/>
      <c r="I136" s="85"/>
      <c r="J136" s="56"/>
    </row>
    <row r="137" spans="1:10" x14ac:dyDescent="0.25">
      <c r="A137" s="175" t="s">
        <v>182</v>
      </c>
      <c r="B137" s="176"/>
      <c r="C137" s="176"/>
      <c r="D137" s="176"/>
      <c r="E137" s="176"/>
      <c r="F137" s="177"/>
      <c r="G137" s="86"/>
      <c r="H137" s="85"/>
      <c r="I137" s="85"/>
      <c r="J137" s="56"/>
    </row>
    <row r="138" spans="1:10" x14ac:dyDescent="0.25">
      <c r="A138" s="175" t="s">
        <v>183</v>
      </c>
      <c r="B138" s="176"/>
      <c r="C138" s="176"/>
      <c r="D138" s="176"/>
      <c r="E138" s="176"/>
      <c r="F138" s="177"/>
      <c r="G138" s="86"/>
      <c r="H138" s="85"/>
      <c r="I138" s="85"/>
      <c r="J138" s="56"/>
    </row>
    <row r="139" spans="1:10" x14ac:dyDescent="0.25">
      <c r="A139" s="175" t="s">
        <v>184</v>
      </c>
      <c r="B139" s="176"/>
      <c r="C139" s="176"/>
      <c r="D139" s="176"/>
      <c r="E139" s="176"/>
      <c r="F139" s="177"/>
      <c r="G139" s="86"/>
      <c r="H139" s="85"/>
      <c r="I139" s="85"/>
      <c r="J139" s="56"/>
    </row>
    <row r="140" spans="1:10" x14ac:dyDescent="0.25">
      <c r="A140" s="175" t="s">
        <v>185</v>
      </c>
      <c r="B140" s="176"/>
      <c r="C140" s="176"/>
      <c r="D140" s="176"/>
      <c r="E140" s="176"/>
      <c r="F140" s="177"/>
      <c r="G140" s="86"/>
      <c r="H140" s="85"/>
      <c r="I140" s="85"/>
      <c r="J140" s="56"/>
    </row>
    <row r="141" spans="1:10" x14ac:dyDescent="0.25">
      <c r="A141" s="175" t="s">
        <v>186</v>
      </c>
      <c r="B141" s="176"/>
      <c r="C141" s="176"/>
      <c r="D141" s="176"/>
      <c r="E141" s="176"/>
      <c r="F141" s="177"/>
      <c r="G141" s="86"/>
      <c r="H141" s="85"/>
      <c r="I141" s="85"/>
      <c r="J141" s="56"/>
    </row>
    <row r="142" spans="1:10" x14ac:dyDescent="0.25">
      <c r="A142" s="175" t="s">
        <v>187</v>
      </c>
      <c r="B142" s="176"/>
      <c r="C142" s="176"/>
      <c r="D142" s="176"/>
      <c r="E142" s="176"/>
      <c r="F142" s="177"/>
      <c r="G142" s="86"/>
      <c r="H142" s="85"/>
      <c r="I142" s="85"/>
      <c r="J142" s="56"/>
    </row>
    <row r="143" spans="1:10" x14ac:dyDescent="0.25">
      <c r="A143" s="175" t="s">
        <v>188</v>
      </c>
      <c r="B143" s="176"/>
      <c r="C143" s="176"/>
      <c r="D143" s="176"/>
      <c r="E143" s="176"/>
      <c r="F143" s="177"/>
      <c r="G143" s="86"/>
      <c r="H143" s="85"/>
      <c r="I143" s="85"/>
      <c r="J143" s="56"/>
    </row>
    <row r="144" spans="1:10" x14ac:dyDescent="0.25">
      <c r="A144" s="175" t="s">
        <v>189</v>
      </c>
      <c r="B144" s="176"/>
      <c r="C144" s="176"/>
      <c r="D144" s="176"/>
      <c r="E144" s="176"/>
      <c r="F144" s="177"/>
      <c r="G144" s="86"/>
      <c r="H144" s="85"/>
      <c r="I144" s="85"/>
      <c r="J144" s="56"/>
    </row>
    <row r="145" spans="1:10" x14ac:dyDescent="0.25">
      <c r="A145" s="175" t="s">
        <v>190</v>
      </c>
      <c r="B145" s="176"/>
      <c r="C145" s="176"/>
      <c r="D145" s="176"/>
      <c r="E145" s="176"/>
      <c r="F145" s="177"/>
      <c r="G145" s="86"/>
      <c r="H145" s="85"/>
      <c r="I145" s="85"/>
      <c r="J145" s="56"/>
    </row>
    <row r="146" spans="1:10" x14ac:dyDescent="0.25">
      <c r="A146" s="175" t="s">
        <v>191</v>
      </c>
      <c r="B146" s="176"/>
      <c r="C146" s="176"/>
      <c r="D146" s="176"/>
      <c r="E146" s="176"/>
      <c r="F146" s="177"/>
      <c r="G146" s="86"/>
      <c r="H146" s="85"/>
      <c r="I146" s="85"/>
      <c r="J146" s="56"/>
    </row>
    <row r="147" spans="1:10" x14ac:dyDescent="0.25">
      <c r="A147" s="175" t="s">
        <v>192</v>
      </c>
      <c r="B147" s="176"/>
      <c r="C147" s="176"/>
      <c r="D147" s="176"/>
      <c r="E147" s="176"/>
      <c r="F147" s="177"/>
      <c r="G147" s="86"/>
      <c r="H147" s="85"/>
      <c r="I147" s="85"/>
      <c r="J147" s="56"/>
    </row>
    <row r="148" spans="1:10" x14ac:dyDescent="0.25">
      <c r="A148" s="175" t="s">
        <v>193</v>
      </c>
      <c r="B148" s="176"/>
      <c r="C148" s="176"/>
      <c r="D148" s="176"/>
      <c r="E148" s="176"/>
      <c r="F148" s="177"/>
      <c r="G148" s="86"/>
      <c r="H148" s="85"/>
      <c r="I148" s="85"/>
      <c r="J148" s="56"/>
    </row>
    <row r="149" spans="1:10" x14ac:dyDescent="0.25">
      <c r="A149" s="175" t="s">
        <v>194</v>
      </c>
      <c r="B149" s="176"/>
      <c r="C149" s="176"/>
      <c r="D149" s="176"/>
      <c r="E149" s="176"/>
      <c r="F149" s="177"/>
      <c r="G149" s="35"/>
      <c r="H149" s="35"/>
      <c r="I149" s="35"/>
      <c r="J149" s="56"/>
    </row>
    <row r="150" spans="1:10" x14ac:dyDescent="0.25">
      <c r="A150" s="175" t="s">
        <v>195</v>
      </c>
      <c r="B150" s="176"/>
      <c r="C150" s="176"/>
      <c r="D150" s="176"/>
      <c r="E150" s="176"/>
      <c r="F150" s="177"/>
      <c r="G150" s="35"/>
      <c r="H150" s="35"/>
      <c r="I150" s="35"/>
      <c r="J150" s="56"/>
    </row>
    <row r="151" spans="1:10" x14ac:dyDescent="0.25">
      <c r="A151" s="175" t="s">
        <v>196</v>
      </c>
      <c r="B151" s="176"/>
      <c r="C151" s="176"/>
      <c r="D151" s="176"/>
      <c r="E151" s="176"/>
      <c r="F151" s="177"/>
      <c r="G151" s="35"/>
      <c r="H151" s="35"/>
      <c r="I151" s="35"/>
      <c r="J151" s="56"/>
    </row>
    <row r="152" spans="1:10" x14ac:dyDescent="0.25">
      <c r="A152" s="175" t="s">
        <v>197</v>
      </c>
      <c r="B152" s="176"/>
      <c r="C152" s="176"/>
      <c r="D152" s="176"/>
      <c r="E152" s="176"/>
      <c r="F152" s="177"/>
      <c r="G152" s="35"/>
      <c r="H152" s="35"/>
      <c r="I152" s="35"/>
      <c r="J152" s="56"/>
    </row>
    <row r="153" spans="1:10" x14ac:dyDescent="0.25">
      <c r="A153" s="175" t="s">
        <v>198</v>
      </c>
      <c r="B153" s="176"/>
      <c r="C153" s="176"/>
      <c r="D153" s="176"/>
      <c r="E153" s="176"/>
      <c r="F153" s="177"/>
      <c r="G153" s="35"/>
      <c r="H153" s="35"/>
      <c r="I153" s="35"/>
      <c r="J153" s="56"/>
    </row>
    <row r="154" spans="1:10" x14ac:dyDescent="0.25">
      <c r="A154" s="175" t="s">
        <v>199</v>
      </c>
      <c r="B154" s="176"/>
      <c r="C154" s="176"/>
      <c r="D154" s="176"/>
      <c r="E154" s="176"/>
      <c r="F154" s="177"/>
      <c r="G154" s="35"/>
      <c r="H154" s="35"/>
      <c r="I154" s="35"/>
      <c r="J154" s="56"/>
    </row>
    <row r="155" spans="1:10" x14ac:dyDescent="0.25">
      <c r="A155" s="175" t="s">
        <v>200</v>
      </c>
      <c r="B155" s="176"/>
      <c r="C155" s="176"/>
      <c r="D155" s="176"/>
      <c r="E155" s="176"/>
      <c r="F155" s="177"/>
      <c r="G155" s="35"/>
      <c r="H155" s="35"/>
      <c r="I155" s="35"/>
      <c r="J155" s="56"/>
    </row>
    <row r="156" spans="1:10" x14ac:dyDescent="0.25">
      <c r="A156" s="175" t="s">
        <v>201</v>
      </c>
      <c r="B156" s="176"/>
      <c r="C156" s="176"/>
      <c r="D156" s="176"/>
      <c r="E156" s="176"/>
      <c r="F156" s="177"/>
      <c r="G156" s="35"/>
      <c r="H156" s="35"/>
      <c r="I156" s="35"/>
      <c r="J156" s="56"/>
    </row>
    <row r="157" spans="1:10" x14ac:dyDescent="0.25">
      <c r="A157" s="175" t="s">
        <v>202</v>
      </c>
      <c r="B157" s="176"/>
      <c r="C157" s="176"/>
      <c r="D157" s="176"/>
      <c r="E157" s="176"/>
      <c r="F157" s="177"/>
      <c r="G157" s="35"/>
      <c r="H157" s="35"/>
      <c r="I157" s="35"/>
      <c r="J157" s="56"/>
    </row>
    <row r="158" spans="1:10" x14ac:dyDescent="0.25">
      <c r="A158" s="175" t="s">
        <v>203</v>
      </c>
      <c r="B158" s="176"/>
      <c r="C158" s="176"/>
      <c r="D158" s="176"/>
      <c r="E158" s="176"/>
      <c r="F158" s="177"/>
      <c r="G158" s="35"/>
      <c r="H158" s="35"/>
      <c r="I158" s="35"/>
      <c r="J158" s="56"/>
    </row>
    <row r="159" spans="1:10" x14ac:dyDescent="0.25">
      <c r="A159" s="175" t="s">
        <v>204</v>
      </c>
      <c r="B159" s="176"/>
      <c r="C159" s="176"/>
      <c r="D159" s="176"/>
      <c r="E159" s="176"/>
      <c r="F159" s="177"/>
      <c r="G159" s="35"/>
      <c r="H159" s="35"/>
      <c r="I159" s="35"/>
      <c r="J159" s="56"/>
    </row>
    <row r="160" spans="1:10" x14ac:dyDescent="0.25">
      <c r="A160" s="175" t="s">
        <v>205</v>
      </c>
      <c r="B160" s="176"/>
      <c r="C160" s="176"/>
      <c r="D160" s="176"/>
      <c r="E160" s="176"/>
      <c r="F160" s="177"/>
      <c r="G160" s="35"/>
      <c r="H160" s="35"/>
      <c r="I160" s="35"/>
      <c r="J160" s="56"/>
    </row>
    <row r="161" spans="1:10" x14ac:dyDescent="0.25">
      <c r="A161" s="175" t="s">
        <v>206</v>
      </c>
      <c r="B161" s="176"/>
      <c r="C161" s="176"/>
      <c r="D161" s="176"/>
      <c r="E161" s="176"/>
      <c r="F161" s="177"/>
      <c r="G161" s="35"/>
      <c r="H161" s="35"/>
      <c r="I161" s="35"/>
      <c r="J161" s="56"/>
    </row>
    <row r="162" spans="1:10" x14ac:dyDescent="0.25">
      <c r="A162" s="175" t="s">
        <v>207</v>
      </c>
      <c r="B162" s="176"/>
      <c r="C162" s="176"/>
      <c r="D162" s="176"/>
      <c r="E162" s="176"/>
      <c r="F162" s="177"/>
      <c r="G162" s="35"/>
      <c r="H162" s="35"/>
      <c r="I162" s="35"/>
      <c r="J162" s="56"/>
    </row>
    <row r="163" spans="1:10" x14ac:dyDescent="0.25">
      <c r="A163" s="175" t="s">
        <v>208</v>
      </c>
      <c r="B163" s="176"/>
      <c r="C163" s="176"/>
      <c r="D163" s="176"/>
      <c r="E163" s="176"/>
      <c r="F163" s="177"/>
      <c r="G163" s="35"/>
      <c r="H163" s="35"/>
      <c r="I163" s="35"/>
      <c r="J163" s="56"/>
    </row>
    <row r="164" spans="1:10" x14ac:dyDescent="0.25">
      <c r="A164" s="175" t="s">
        <v>209</v>
      </c>
      <c r="B164" s="176"/>
      <c r="C164" s="176"/>
      <c r="D164" s="176"/>
      <c r="E164" s="176"/>
      <c r="F164" s="177"/>
      <c r="G164" s="35"/>
      <c r="H164" s="35"/>
      <c r="I164" s="35"/>
      <c r="J164" s="56"/>
    </row>
    <row r="165" spans="1:10" x14ac:dyDescent="0.25">
      <c r="A165" s="175" t="s">
        <v>210</v>
      </c>
      <c r="B165" s="176"/>
      <c r="C165" s="176"/>
      <c r="D165" s="176"/>
      <c r="E165" s="176"/>
      <c r="F165" s="177"/>
      <c r="G165" s="35"/>
      <c r="H165" s="35"/>
      <c r="I165" s="35"/>
      <c r="J165" s="56"/>
    </row>
    <row r="166" spans="1:10" x14ac:dyDescent="0.25">
      <c r="A166" s="175" t="s">
        <v>211</v>
      </c>
      <c r="B166" s="176"/>
      <c r="C166" s="176"/>
      <c r="D166" s="176"/>
      <c r="E166" s="176"/>
      <c r="F166" s="177"/>
      <c r="G166" s="35"/>
      <c r="H166" s="35"/>
      <c r="I166" s="35"/>
      <c r="J166" s="56"/>
    </row>
    <row r="167" spans="1:10" x14ac:dyDescent="0.25">
      <c r="A167" s="175" t="s">
        <v>212</v>
      </c>
      <c r="B167" s="176"/>
      <c r="C167" s="176"/>
      <c r="D167" s="176"/>
      <c r="E167" s="176"/>
      <c r="F167" s="177"/>
      <c r="G167" s="35"/>
      <c r="H167" s="35"/>
      <c r="I167" s="35"/>
      <c r="J167" s="56"/>
    </row>
    <row r="168" spans="1:10" x14ac:dyDescent="0.25">
      <c r="A168" s="175" t="s">
        <v>213</v>
      </c>
      <c r="B168" s="176"/>
      <c r="C168" s="176"/>
      <c r="D168" s="176"/>
      <c r="E168" s="176"/>
      <c r="F168" s="177"/>
      <c r="G168" s="35"/>
      <c r="H168" s="35"/>
      <c r="I168" s="35"/>
      <c r="J168" s="56"/>
    </row>
    <row r="169" spans="1:10" x14ac:dyDescent="0.25">
      <c r="A169" s="109"/>
      <c r="B169" s="110"/>
      <c r="C169" s="110"/>
      <c r="D169" s="110"/>
      <c r="E169" s="110"/>
      <c r="F169" s="110"/>
      <c r="G169" s="35"/>
      <c r="H169" s="35"/>
      <c r="I169" s="35"/>
      <c r="J169" s="56"/>
    </row>
    <row r="170" spans="1:10" ht="21.75" customHeight="1" x14ac:dyDescent="0.25">
      <c r="A170" s="193" t="s">
        <v>330</v>
      </c>
      <c r="B170" s="193"/>
      <c r="C170" s="193"/>
      <c r="D170" s="193"/>
      <c r="E170" s="193"/>
      <c r="F170" s="193"/>
      <c r="G170" s="35"/>
      <c r="H170" s="35"/>
      <c r="I170" s="35"/>
      <c r="J170" s="56"/>
    </row>
    <row r="171" spans="1:10" x14ac:dyDescent="0.25">
      <c r="A171" s="109"/>
      <c r="B171" s="110"/>
      <c r="C171" s="110"/>
      <c r="D171" s="110"/>
      <c r="E171" s="110"/>
      <c r="F171" s="110"/>
      <c r="G171" s="35"/>
      <c r="H171" s="35"/>
      <c r="I171" s="35"/>
      <c r="J171" s="56"/>
    </row>
    <row r="172" spans="1:10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1:10" x14ac:dyDescent="0.25">
      <c r="A173" s="56" t="s">
        <v>349</v>
      </c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1:10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1:10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1:10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</row>
    <row r="177" spans="1:10" x14ac:dyDescent="0.25">
      <c r="A177" s="111" t="s">
        <v>350</v>
      </c>
      <c r="B177" s="56"/>
      <c r="C177" s="56"/>
      <c r="D177" s="56"/>
      <c r="E177" s="56"/>
      <c r="F177" s="56"/>
      <c r="G177" s="56"/>
      <c r="H177" s="56"/>
      <c r="I177" s="56"/>
      <c r="J177" s="56"/>
    </row>
    <row r="178" spans="1:10" x14ac:dyDescent="0.25">
      <c r="A178" s="112" t="s">
        <v>10</v>
      </c>
      <c r="B178" s="56"/>
      <c r="C178" s="56"/>
      <c r="D178" s="56"/>
      <c r="E178" s="56"/>
      <c r="F178" s="56"/>
      <c r="G178" s="56"/>
      <c r="H178" s="56"/>
      <c r="I178" s="56"/>
      <c r="J178" s="56"/>
    </row>
    <row r="179" spans="1:10" x14ac:dyDescent="0.25">
      <c r="A179" s="111" t="s">
        <v>235</v>
      </c>
      <c r="B179" s="56"/>
      <c r="C179" s="56"/>
      <c r="D179" s="56"/>
      <c r="E179" s="56"/>
      <c r="F179" s="56"/>
      <c r="G179" s="56"/>
      <c r="H179" s="56"/>
      <c r="I179" s="56"/>
      <c r="J179" s="56"/>
    </row>
  </sheetData>
  <mergeCells count="83">
    <mergeCell ref="A167:F167"/>
    <mergeCell ref="A168:F168"/>
    <mergeCell ref="A170:F170"/>
    <mergeCell ref="A1:J1"/>
    <mergeCell ref="A2:J2"/>
    <mergeCell ref="A161:F161"/>
    <mergeCell ref="A162:F162"/>
    <mergeCell ref="A163:F163"/>
    <mergeCell ref="A164:F164"/>
    <mergeCell ref="A165:F165"/>
    <mergeCell ref="A166:F166"/>
    <mergeCell ref="A155:F155"/>
    <mergeCell ref="A156:F156"/>
    <mergeCell ref="A157:F157"/>
    <mergeCell ref="A158:F158"/>
    <mergeCell ref="A159:F159"/>
    <mergeCell ref="A160:F160"/>
    <mergeCell ref="A149:F149"/>
    <mergeCell ref="A150:F150"/>
    <mergeCell ref="A151:F151"/>
    <mergeCell ref="A152:F152"/>
    <mergeCell ref="A153:F153"/>
    <mergeCell ref="A154:F154"/>
    <mergeCell ref="A148:F148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45:F145"/>
    <mergeCell ref="A146:F146"/>
    <mergeCell ref="A147:F147"/>
    <mergeCell ref="A136:F136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24:F124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12:F112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00:F100"/>
    <mergeCell ref="B3:J3"/>
    <mergeCell ref="A4:J4"/>
    <mergeCell ref="A27:I27"/>
    <mergeCell ref="A41:I41"/>
    <mergeCell ref="A93:F93"/>
    <mergeCell ref="A94:F94"/>
    <mergeCell ref="A95:F95"/>
    <mergeCell ref="A96:F96"/>
    <mergeCell ref="A97:F97"/>
    <mergeCell ref="A98:F98"/>
    <mergeCell ref="A99:F99"/>
  </mergeCells>
  <dataValidations count="4">
    <dataValidation type="list" allowBlank="1" sqref="B6:B12" xr:uid="{101B6133-46BC-46BE-B4F5-07ED88A5DE19}">
      <formula1>"DAS,DAS-1,DAS-2,DAS-3,DAS-4,DAS-5,CAA-1,CAA-2,CAA-3,CAA-4,CAA-5"</formula1>
    </dataValidation>
    <dataValidation type="list" allowBlank="1" sqref="B29:B32" xr:uid="{3CC62082-A2B3-4E6A-9C81-756A1F90BEBB}">
      <formula1>"FDA,FDA-1,FDA-2,FDA-3,FDA-4"</formula1>
    </dataValidation>
    <dataValidation type="list" allowBlank="1" sqref="B43:B80" xr:uid="{7E12A934-B4FE-4AB7-9933-06375133EC15}">
      <formula1>"FGS-1,FGS-2,FGS-3,FGA-1,FGA-2,FGA-3"</formula1>
    </dataValidation>
    <dataValidation type="list" allowBlank="1" sqref="D6:D12 D29:D32 D43:D80" xr:uid="{7CEB1515-199F-4956-B3BE-9D5210BD2379}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C7AC-A23A-4BA0-B13D-715AFFEEEA23}">
  <dimension ref="A1:AA176"/>
  <sheetViews>
    <sheetView workbookViewId="0">
      <selection sqref="A1:XFD3"/>
    </sheetView>
  </sheetViews>
  <sheetFormatPr defaultRowHeight="15" x14ac:dyDescent="0.25"/>
  <cols>
    <col min="1" max="1" width="55.28515625" customWidth="1"/>
    <col min="2" max="2" width="9.85546875" customWidth="1"/>
    <col min="3" max="3" width="13.85546875" customWidth="1"/>
    <col min="4" max="4" width="9.85546875" customWidth="1"/>
    <col min="5" max="5" width="6.42578125" customWidth="1"/>
    <col min="6" max="6" width="43.42578125" customWidth="1"/>
    <col min="7" max="7" width="11.5703125" customWidth="1"/>
    <col min="8" max="8" width="10.28515625" customWidth="1"/>
    <col min="9" max="9" width="12.28515625" customWidth="1"/>
    <col min="10" max="10" width="10" customWidth="1"/>
  </cols>
  <sheetData>
    <row r="1" spans="1:27" ht="21" x14ac:dyDescent="0.35">
      <c r="A1" s="194" t="s">
        <v>368</v>
      </c>
      <c r="B1" s="195"/>
      <c r="C1" s="195"/>
      <c r="D1" s="195"/>
      <c r="E1" s="195"/>
      <c r="F1" s="195"/>
      <c r="G1" s="195"/>
      <c r="H1" s="195"/>
      <c r="I1" s="195"/>
      <c r="J1" s="195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21" x14ac:dyDescent="0.3">
      <c r="A2" s="145" t="s">
        <v>325</v>
      </c>
      <c r="B2" s="146"/>
      <c r="C2" s="146"/>
      <c r="D2" s="146"/>
      <c r="E2" s="146"/>
      <c r="F2" s="146"/>
      <c r="G2" s="146"/>
      <c r="H2" s="146"/>
      <c r="I2" s="146"/>
      <c r="J2" s="146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9"/>
      <c r="AA2" s="59"/>
    </row>
    <row r="3" spans="1:27" x14ac:dyDescent="0.25">
      <c r="A3" s="1" t="s">
        <v>367</v>
      </c>
      <c r="B3" s="147" t="s">
        <v>11</v>
      </c>
      <c r="C3" s="128"/>
      <c r="D3" s="128"/>
      <c r="E3" s="128"/>
      <c r="F3" s="128"/>
      <c r="G3" s="128"/>
      <c r="H3" s="128"/>
      <c r="I3" s="128"/>
      <c r="J3" s="129"/>
    </row>
    <row r="4" spans="1:27" x14ac:dyDescent="0.25">
      <c r="A4" s="65" t="s">
        <v>285</v>
      </c>
      <c r="B4" s="66" t="s">
        <v>2</v>
      </c>
      <c r="C4" s="67" t="s">
        <v>27</v>
      </c>
      <c r="D4" s="67" t="s">
        <v>28</v>
      </c>
      <c r="E4" s="68">
        <v>1</v>
      </c>
      <c r="F4" s="69" t="s">
        <v>308</v>
      </c>
      <c r="G4" s="70">
        <v>0</v>
      </c>
      <c r="H4" s="70">
        <v>1079.06</v>
      </c>
      <c r="I4" s="70">
        <v>4316.21</v>
      </c>
      <c r="J4" s="71">
        <v>5395.27</v>
      </c>
    </row>
    <row r="5" spans="1:27" x14ac:dyDescent="0.25">
      <c r="A5" s="65" t="s">
        <v>38</v>
      </c>
      <c r="B5" s="67" t="s">
        <v>2</v>
      </c>
      <c r="C5" s="67" t="s">
        <v>39</v>
      </c>
      <c r="D5" s="67" t="s">
        <v>28</v>
      </c>
      <c r="E5" s="68">
        <v>1</v>
      </c>
      <c r="F5" s="69" t="s">
        <v>339</v>
      </c>
      <c r="G5" s="70">
        <v>0</v>
      </c>
      <c r="H5" s="70">
        <v>1079.06</v>
      </c>
      <c r="I5" s="70">
        <v>4316.21</v>
      </c>
      <c r="J5" s="71">
        <v>5395.27</v>
      </c>
    </row>
    <row r="6" spans="1:27" ht="13.5" customHeight="1" x14ac:dyDescent="0.25">
      <c r="A6" s="65" t="s">
        <v>288</v>
      </c>
      <c r="B6" s="66" t="s">
        <v>8</v>
      </c>
      <c r="C6" s="67" t="s">
        <v>37</v>
      </c>
      <c r="D6" s="67" t="s">
        <v>28</v>
      </c>
      <c r="E6" s="68">
        <v>1</v>
      </c>
      <c r="F6" s="69" t="s">
        <v>310</v>
      </c>
      <c r="G6" s="70">
        <v>0</v>
      </c>
      <c r="H6" s="70">
        <v>700.75</v>
      </c>
      <c r="I6" s="70">
        <v>3083.01</v>
      </c>
      <c r="J6" s="71">
        <v>3783.76</v>
      </c>
    </row>
    <row r="7" spans="1:27" x14ac:dyDescent="0.25">
      <c r="A7" s="65" t="s">
        <v>290</v>
      </c>
      <c r="B7" s="66" t="s">
        <v>8</v>
      </c>
      <c r="C7" s="67" t="s">
        <v>35</v>
      </c>
      <c r="D7" s="67" t="s">
        <v>28</v>
      </c>
      <c r="E7" s="68">
        <v>1</v>
      </c>
      <c r="F7" s="69" t="s">
        <v>311</v>
      </c>
      <c r="G7" s="70">
        <v>0</v>
      </c>
      <c r="H7" s="70">
        <v>700.75</v>
      </c>
      <c r="I7" s="70">
        <v>3083.01</v>
      </c>
      <c r="J7" s="71">
        <v>3783.76</v>
      </c>
    </row>
    <row r="8" spans="1:27" x14ac:dyDescent="0.25">
      <c r="A8" s="65" t="s">
        <v>268</v>
      </c>
      <c r="B8" s="66" t="s">
        <v>9</v>
      </c>
      <c r="C8" s="67" t="s">
        <v>30</v>
      </c>
      <c r="D8" s="67" t="s">
        <v>28</v>
      </c>
      <c r="E8" s="68">
        <v>1</v>
      </c>
      <c r="F8" s="69" t="s">
        <v>312</v>
      </c>
      <c r="G8" s="70">
        <v>0</v>
      </c>
      <c r="H8" s="70">
        <v>500.99</v>
      </c>
      <c r="I8" s="70">
        <v>2003.96</v>
      </c>
      <c r="J8" s="71">
        <v>2504.9499999999998</v>
      </c>
    </row>
    <row r="9" spans="1:27" x14ac:dyDescent="0.25">
      <c r="A9" s="65" t="s">
        <v>31</v>
      </c>
      <c r="B9" s="66" t="s">
        <v>32</v>
      </c>
      <c r="C9" s="67" t="s">
        <v>33</v>
      </c>
      <c r="D9" s="67" t="s">
        <v>28</v>
      </c>
      <c r="E9" s="68">
        <v>1</v>
      </c>
      <c r="F9" s="69" t="s">
        <v>313</v>
      </c>
      <c r="G9" s="70">
        <v>0</v>
      </c>
      <c r="H9" s="70">
        <v>308.3</v>
      </c>
      <c r="I9" s="70">
        <v>1233.21</v>
      </c>
      <c r="J9" s="71">
        <v>1541.51</v>
      </c>
    </row>
    <row r="10" spans="1:27" ht="33.75" x14ac:dyDescent="0.25">
      <c r="A10" s="72" t="s">
        <v>40</v>
      </c>
      <c r="B10" s="72" t="s">
        <v>41</v>
      </c>
      <c r="C10" s="73" t="s">
        <v>42</v>
      </c>
      <c r="D10" s="73" t="s">
        <v>43</v>
      </c>
      <c r="E10" s="73" t="s">
        <v>44</v>
      </c>
      <c r="F10" s="74"/>
      <c r="G10" s="73" t="s">
        <v>45</v>
      </c>
      <c r="H10" s="73" t="s">
        <v>46</v>
      </c>
      <c r="I10" s="73" t="s">
        <v>47</v>
      </c>
      <c r="J10" s="56"/>
    </row>
    <row r="11" spans="1:27" x14ac:dyDescent="0.25">
      <c r="A11" s="75" t="s">
        <v>48</v>
      </c>
      <c r="B11" s="76" t="s">
        <v>49</v>
      </c>
      <c r="C11" s="77">
        <f ca="1">SUMIFS($E$9:$E$12,$B$9:$B$12,"DAS",$D$9:$D$12,"&lt;&gt;VAGO")</f>
        <v>0</v>
      </c>
      <c r="D11" s="77">
        <f ca="1">SUMIFS($E$9:$E$12,$B$9:$B$12,"DAS",$D$9:$D$12,"VAGO")</f>
        <v>0</v>
      </c>
      <c r="E11" s="77">
        <f t="shared" ref="E11:E21" ca="1" si="0">C11+D11</f>
        <v>0</v>
      </c>
      <c r="F11" s="78"/>
      <c r="G11" s="79">
        <f ca="1">SUMIF($B$9:$B$12,"DAS",$G$9:$G$12)</f>
        <v>0</v>
      </c>
      <c r="H11" s="79">
        <f ca="1">SUMIF($B$9:$B$12,"DAS",$H$9:$H$12)</f>
        <v>0</v>
      </c>
      <c r="I11" s="79">
        <f ca="1">SUMIF($B$9:$B$12,"DAS",$I$9:$I$12)</f>
        <v>0</v>
      </c>
      <c r="J11" s="56"/>
    </row>
    <row r="12" spans="1:27" x14ac:dyDescent="0.25">
      <c r="A12" s="75" t="s">
        <v>50</v>
      </c>
      <c r="B12" s="76" t="s">
        <v>0</v>
      </c>
      <c r="C12" s="77">
        <v>1</v>
      </c>
      <c r="D12" s="77">
        <f ca="1">SUMIFS($E$9:$E$12,$B$9:$B$12,"DAS-1",$D$9:$D$12,"VAGO")</f>
        <v>0</v>
      </c>
      <c r="E12" s="77">
        <f t="shared" ca="1" si="0"/>
        <v>1</v>
      </c>
      <c r="F12" s="61"/>
      <c r="G12" s="79">
        <f ca="1">SUMIF($B$9:$B$12,"DAS-1",$G$9:$G$12)</f>
        <v>0</v>
      </c>
      <c r="H12" s="80">
        <v>8479.33</v>
      </c>
      <c r="I12" s="80">
        <v>9360</v>
      </c>
      <c r="J12" s="56"/>
    </row>
    <row r="13" spans="1:27" x14ac:dyDescent="0.25">
      <c r="A13" s="75" t="s">
        <v>51</v>
      </c>
      <c r="B13" s="76" t="s">
        <v>52</v>
      </c>
      <c r="C13" s="77">
        <f>SUMIFS($E$9:$E$12,$B$9:$B$12,"DAS-2",$D$9:$D$12,"&lt;&gt;VAGO")</f>
        <v>0</v>
      </c>
      <c r="D13" s="77">
        <v>0</v>
      </c>
      <c r="E13" s="77">
        <f t="shared" si="0"/>
        <v>0</v>
      </c>
      <c r="F13" s="61"/>
      <c r="G13" s="79">
        <f>SUMIF($B$9:$B$12,"DAS-2",$G$9:$G$12)</f>
        <v>0</v>
      </c>
      <c r="H13" s="79">
        <f>SUMIF($B$9:$B$12,"DAS-2",$H$9:$H$12)</f>
        <v>0</v>
      </c>
      <c r="I13" s="79">
        <f>SUMIF($B$9:$B$12,"DAS-2",$I$9:$I$12)</f>
        <v>0</v>
      </c>
      <c r="J13" s="56"/>
    </row>
    <row r="14" spans="1:27" x14ac:dyDescent="0.25">
      <c r="A14" s="75" t="s">
        <v>53</v>
      </c>
      <c r="B14" s="76" t="s">
        <v>54</v>
      </c>
      <c r="C14" s="77">
        <f>SUMIFS($E$9:$E$12,$B$9:$B$12,"DAS-3",$D$9:$D$12,"&lt;&gt;VAGO")</f>
        <v>0</v>
      </c>
      <c r="D14" s="77">
        <f>SUMIFS($E$9:$E$12,$B$9:$B$12,"DAS-3",$D$9:$D$12,"VAGO")</f>
        <v>0</v>
      </c>
      <c r="E14" s="77">
        <f t="shared" si="0"/>
        <v>0</v>
      </c>
      <c r="F14" s="61"/>
      <c r="G14" s="79">
        <f>SUMIF($B$9:$B$12,"DAS-3",$G$9:$G$12)</f>
        <v>0</v>
      </c>
      <c r="H14" s="79">
        <f>SUMIF($B$9:$B$12,"DAS-3",$H$9:$H$12)</f>
        <v>0</v>
      </c>
      <c r="I14" s="79">
        <f>SUMIF($B$9:$B$12,"DAS-3",$I$9:$I$12)</f>
        <v>0</v>
      </c>
      <c r="J14" s="56"/>
    </row>
    <row r="15" spans="1:27" x14ac:dyDescent="0.25">
      <c r="A15" s="81" t="s">
        <v>55</v>
      </c>
      <c r="B15" s="76" t="s">
        <v>56</v>
      </c>
      <c r="C15" s="77">
        <f>SUMIFS($E$9:$E$12,$B$9:$B$12,"DAS-4",$D$9:$D$12,"&lt;&gt;VAGO")</f>
        <v>0</v>
      </c>
      <c r="D15" s="77">
        <f>SUMIFS($E$9:$E$12,$B$9:$B$12,"DAS-4",$D$9:$D$12,"VAGO")</f>
        <v>0</v>
      </c>
      <c r="E15" s="77">
        <f t="shared" si="0"/>
        <v>0</v>
      </c>
      <c r="F15" s="82"/>
      <c r="G15" s="79">
        <f>SUMIF($B$9:$B$12,"DAS-4",$G$9:$G$12)</f>
        <v>0</v>
      </c>
      <c r="H15" s="79">
        <f>SUMIF($B$9:$B$12,"DAS-4",$H$9:$H$12)</f>
        <v>0</v>
      </c>
      <c r="I15" s="79">
        <f>SUMIF($B$9:$B$12,"DAS-4",$I$9:$I$12)</f>
        <v>0</v>
      </c>
      <c r="J15" s="56"/>
    </row>
    <row r="16" spans="1:27" x14ac:dyDescent="0.25">
      <c r="A16" s="81" t="s">
        <v>57</v>
      </c>
      <c r="B16" s="76" t="s">
        <v>2</v>
      </c>
      <c r="C16" s="77">
        <v>2</v>
      </c>
      <c r="D16" s="77">
        <v>0</v>
      </c>
      <c r="E16" s="77">
        <v>2</v>
      </c>
      <c r="F16" s="82"/>
      <c r="G16" s="79">
        <f>SUMIF($B$9:$B$12,"DAS-5",$G$9:$G$12)</f>
        <v>0</v>
      </c>
      <c r="H16" s="80">
        <v>2079.12</v>
      </c>
      <c r="I16" s="80">
        <v>8632.42</v>
      </c>
      <c r="J16" s="56"/>
    </row>
    <row r="17" spans="1:10" x14ac:dyDescent="0.25">
      <c r="A17" s="81" t="s">
        <v>58</v>
      </c>
      <c r="B17" s="76" t="s">
        <v>59</v>
      </c>
      <c r="C17" s="77">
        <f>SUMIFS($E$9:$E$12,$B$9:$B$12,"CAA-1",$D$9:$D$12,"&lt;&gt;VAGO")</f>
        <v>0</v>
      </c>
      <c r="D17" s="77">
        <f>SUMIFS($E$9:$E$12,$B$9:$B$12,"CAA-1",$D$9:$D$12,"VAGO")</f>
        <v>0</v>
      </c>
      <c r="E17" s="77">
        <f t="shared" si="0"/>
        <v>0</v>
      </c>
      <c r="F17" s="82"/>
      <c r="G17" s="79">
        <f>SUMIF($B$9:$B$12,"CAA-1",$G$9:$G$12)</f>
        <v>0</v>
      </c>
      <c r="H17" s="79">
        <f>SUMIF($B$9:$B$12,"CAA-1",$H$9:$H$12)</f>
        <v>0</v>
      </c>
      <c r="I17" s="79">
        <f>SUMIF($B$9:$B$12,"CAA-1",$I$9:$I$12)</f>
        <v>0</v>
      </c>
      <c r="J17" s="56"/>
    </row>
    <row r="18" spans="1:10" x14ac:dyDescent="0.25">
      <c r="A18" s="81" t="s">
        <v>60</v>
      </c>
      <c r="B18" s="76" t="s">
        <v>8</v>
      </c>
      <c r="C18" s="77">
        <v>2</v>
      </c>
      <c r="D18" s="77">
        <v>0</v>
      </c>
      <c r="E18" s="77">
        <v>2</v>
      </c>
      <c r="F18" s="82"/>
      <c r="G18" s="79">
        <f>SUMIF($B$9:$B$12,"CAA-2",$G$9:$G$12)</f>
        <v>0</v>
      </c>
      <c r="H18" s="80">
        <v>1401.5</v>
      </c>
      <c r="I18" s="80">
        <v>6166.02</v>
      </c>
      <c r="J18" s="56"/>
    </row>
    <row r="19" spans="1:10" x14ac:dyDescent="0.25">
      <c r="A19" s="81" t="s">
        <v>61</v>
      </c>
      <c r="B19" s="76" t="s">
        <v>9</v>
      </c>
      <c r="C19" s="77">
        <v>1</v>
      </c>
      <c r="D19" s="77">
        <v>0</v>
      </c>
      <c r="E19" s="77">
        <f t="shared" si="0"/>
        <v>1</v>
      </c>
      <c r="F19" s="61" t="s">
        <v>269</v>
      </c>
      <c r="G19" s="79">
        <f>SUMIF($B$9:$B$12,"CAA-3",$G$9:$G$12)</f>
        <v>0</v>
      </c>
      <c r="H19" s="80">
        <v>500.99</v>
      </c>
      <c r="I19" s="80">
        <v>2003.96</v>
      </c>
      <c r="J19" s="56"/>
    </row>
    <row r="20" spans="1:10" x14ac:dyDescent="0.25">
      <c r="A20" s="81" t="s">
        <v>62</v>
      </c>
      <c r="B20" s="76" t="s">
        <v>32</v>
      </c>
      <c r="C20" s="77">
        <v>1</v>
      </c>
      <c r="D20" s="77">
        <v>0</v>
      </c>
      <c r="E20" s="77">
        <f t="shared" si="0"/>
        <v>1</v>
      </c>
      <c r="F20" s="61"/>
      <c r="G20" s="79">
        <f>SUMIF($B$9:$B$12,"CAA-4",$G$9:$G$12)</f>
        <v>0</v>
      </c>
      <c r="H20" s="79">
        <f>SUMIF($B$9:$B$12,"CAA-4",$H$9:$H$12)</f>
        <v>308.3</v>
      </c>
      <c r="I20" s="79">
        <f>SUMIF($B$9:$B$12,"CAA-4",$I$9:$I$12)</f>
        <v>1233.21</v>
      </c>
      <c r="J20" s="56"/>
    </row>
    <row r="21" spans="1:10" x14ac:dyDescent="0.25">
      <c r="A21" s="81" t="s">
        <v>63</v>
      </c>
      <c r="B21" s="76" t="s">
        <v>64</v>
      </c>
      <c r="C21" s="77">
        <f>SUMIFS($E$9:$E$12,$B$9:$B$12,"CAA-5",$D$9:$D$12,"&lt;&gt;VAGO")</f>
        <v>0</v>
      </c>
      <c r="D21" s="77">
        <f>SUMIFS($E$9:$E$12,$B$9:$B$12,"CAA-5",$D$9:$D$12,"VAGO")</f>
        <v>0</v>
      </c>
      <c r="E21" s="77">
        <f t="shared" si="0"/>
        <v>0</v>
      </c>
      <c r="F21" s="61"/>
      <c r="G21" s="79">
        <f>SUMIF($B$9:$B$12,"CAA-5",$G$9:$G$12)</f>
        <v>0</v>
      </c>
      <c r="H21" s="79">
        <f>SUMIF($B$9:$B$12,"CAA-5",$H$9:$H$12)</f>
        <v>0</v>
      </c>
      <c r="I21" s="79">
        <f>SUMIF($B$9:$B$12,"CAA-5",$I$9:$I$12)</f>
        <v>0</v>
      </c>
      <c r="J21" s="56"/>
    </row>
    <row r="22" spans="1:10" x14ac:dyDescent="0.25">
      <c r="A22" s="72" t="s">
        <v>65</v>
      </c>
      <c r="B22" s="83"/>
      <c r="C22" s="73">
        <v>7</v>
      </c>
      <c r="D22" s="73">
        <v>0</v>
      </c>
      <c r="E22" s="73">
        <f ca="1">SUM(E11:E21)</f>
        <v>7</v>
      </c>
      <c r="F22" s="83"/>
      <c r="G22" s="84">
        <f ca="1">SUM(G11:G21)</f>
        <v>0</v>
      </c>
      <c r="H22" s="84">
        <v>12779.24</v>
      </c>
      <c r="I22" s="84">
        <v>27895.61</v>
      </c>
      <c r="J22" s="56"/>
    </row>
    <row r="23" spans="1:10" x14ac:dyDescent="0.25">
      <c r="A23" s="85"/>
      <c r="B23" s="85"/>
      <c r="C23" s="85"/>
      <c r="D23" s="85"/>
      <c r="E23" s="85"/>
      <c r="F23" s="85"/>
      <c r="G23" s="85"/>
      <c r="H23" s="86"/>
      <c r="I23" s="86"/>
      <c r="J23" s="56"/>
    </row>
    <row r="24" spans="1:10" x14ac:dyDescent="0.25">
      <c r="A24" s="171" t="s">
        <v>66</v>
      </c>
      <c r="B24" s="125"/>
      <c r="C24" s="125"/>
      <c r="D24" s="125"/>
      <c r="E24" s="125"/>
      <c r="F24" s="125"/>
      <c r="G24" s="125"/>
      <c r="H24" s="125"/>
      <c r="I24" s="126"/>
      <c r="J24" s="56"/>
    </row>
    <row r="25" spans="1:10" ht="22.5" x14ac:dyDescent="0.25">
      <c r="A25" s="64" t="s">
        <v>67</v>
      </c>
      <c r="B25" s="64" t="s">
        <v>68</v>
      </c>
      <c r="C25" s="64" t="s">
        <v>69</v>
      </c>
      <c r="D25" s="64" t="s">
        <v>70</v>
      </c>
      <c r="E25" s="64" t="s">
        <v>71</v>
      </c>
      <c r="F25" s="64" t="s">
        <v>72</v>
      </c>
      <c r="G25" s="64" t="s">
        <v>73</v>
      </c>
      <c r="H25" s="64" t="s">
        <v>74</v>
      </c>
      <c r="I25" s="64" t="s">
        <v>75</v>
      </c>
      <c r="J25" s="56"/>
    </row>
    <row r="26" spans="1:10" x14ac:dyDescent="0.25">
      <c r="A26" s="54" t="s">
        <v>81</v>
      </c>
      <c r="B26" s="87" t="s">
        <v>3</v>
      </c>
      <c r="C26" s="67" t="s">
        <v>35</v>
      </c>
      <c r="D26" s="67" t="s">
        <v>117</v>
      </c>
      <c r="E26" s="76">
        <v>1</v>
      </c>
      <c r="F26" s="56" t="s">
        <v>314</v>
      </c>
      <c r="G26" s="79">
        <f ca="1">SUMIF($B$9:$B$12,"DAS",$G$9:$G$12)</f>
        <v>0</v>
      </c>
      <c r="H26" s="79">
        <v>4316.21</v>
      </c>
      <c r="I26" s="79">
        <v>4316.21</v>
      </c>
      <c r="J26" s="56"/>
    </row>
    <row r="27" spans="1:10" x14ac:dyDescent="0.25">
      <c r="A27" s="54" t="s">
        <v>77</v>
      </c>
      <c r="B27" s="87" t="s">
        <v>3</v>
      </c>
      <c r="C27" s="67" t="s">
        <v>78</v>
      </c>
      <c r="D27" s="67" t="s">
        <v>24</v>
      </c>
      <c r="E27" s="76">
        <v>1</v>
      </c>
      <c r="F27" s="88" t="s">
        <v>295</v>
      </c>
      <c r="G27" s="89">
        <v>5404.89</v>
      </c>
      <c r="H27" s="79">
        <v>1726.48</v>
      </c>
      <c r="I27" s="79">
        <v>7131.37</v>
      </c>
      <c r="J27" s="56"/>
    </row>
    <row r="28" spans="1:10" x14ac:dyDescent="0.25">
      <c r="A28" s="54" t="s">
        <v>79</v>
      </c>
      <c r="B28" s="87" t="s">
        <v>3</v>
      </c>
      <c r="C28" s="67" t="s">
        <v>80</v>
      </c>
      <c r="D28" s="67" t="s">
        <v>24</v>
      </c>
      <c r="E28" s="76">
        <v>1</v>
      </c>
      <c r="F28" s="54" t="s">
        <v>296</v>
      </c>
      <c r="G28" s="79">
        <v>7691</v>
      </c>
      <c r="H28" s="79">
        <v>3884.59</v>
      </c>
      <c r="I28" s="79">
        <v>11575.59</v>
      </c>
      <c r="J28" s="56"/>
    </row>
    <row r="29" spans="1:10" ht="22.5" x14ac:dyDescent="0.25">
      <c r="A29" s="54" t="s">
        <v>76</v>
      </c>
      <c r="B29" s="87" t="s">
        <v>1</v>
      </c>
      <c r="C29" s="67" t="s">
        <v>35</v>
      </c>
      <c r="D29" s="67" t="s">
        <v>24</v>
      </c>
      <c r="E29" s="76">
        <v>1</v>
      </c>
      <c r="F29" s="88" t="s">
        <v>297</v>
      </c>
      <c r="G29" s="79">
        <v>7691</v>
      </c>
      <c r="H29" s="79">
        <v>3083.01</v>
      </c>
      <c r="I29" s="79">
        <v>10777.01</v>
      </c>
      <c r="J29" s="56"/>
    </row>
    <row r="30" spans="1:10" ht="33.75" x14ac:dyDescent="0.25">
      <c r="A30" s="72" t="s">
        <v>82</v>
      </c>
      <c r="B30" s="72" t="s">
        <v>83</v>
      </c>
      <c r="C30" s="73" t="s">
        <v>84</v>
      </c>
      <c r="D30" s="73" t="s">
        <v>85</v>
      </c>
      <c r="E30" s="73" t="s">
        <v>86</v>
      </c>
      <c r="F30" s="90"/>
      <c r="G30" s="73" t="s">
        <v>87</v>
      </c>
      <c r="H30" s="73" t="s">
        <v>88</v>
      </c>
      <c r="I30" s="73" t="s">
        <v>89</v>
      </c>
      <c r="J30" s="56"/>
    </row>
    <row r="31" spans="1:10" x14ac:dyDescent="0.25">
      <c r="A31" s="75" t="s">
        <v>90</v>
      </c>
      <c r="B31" s="91" t="s">
        <v>91</v>
      </c>
      <c r="C31" s="77">
        <f ca="1">SUMIFS($E$26:$E$32,$B$26:$B$32,"FDA",$D$26:$D$32,"&lt;&gt;VAGO")</f>
        <v>0</v>
      </c>
      <c r="D31" s="77">
        <f ca="1">SUMIFS($E$26:$E$32,$B$26:$B$32,"FDA",$D$26:$D$32,"VAGO")</f>
        <v>0</v>
      </c>
      <c r="E31" s="77">
        <f t="shared" ref="E31:E35" ca="1" si="1">C31+D31</f>
        <v>0</v>
      </c>
      <c r="F31" s="78"/>
      <c r="G31" s="92">
        <f ca="1">SUMIF($B$26:$B$32,"FDA",$G$26:$G$32)</f>
        <v>0</v>
      </c>
      <c r="H31" s="92">
        <f ca="1">SUMIF($B$26:$B$32,"FDA",$H$26:$H$32)</f>
        <v>0</v>
      </c>
      <c r="I31" s="92">
        <f ca="1">SUMIF($B$26:$B$32,"FDA",$I$26:$I$32)</f>
        <v>0</v>
      </c>
      <c r="J31" s="56"/>
    </row>
    <row r="32" spans="1:10" x14ac:dyDescent="0.25">
      <c r="A32" s="75" t="s">
        <v>92</v>
      </c>
      <c r="B32" s="91" t="s">
        <v>93</v>
      </c>
      <c r="C32" s="77">
        <f ca="1">SUMIFS($E$26:$E$32,$B$26:$B$32,"FDA-1",$D$26:$D$32,"&lt;&gt;VAGO")</f>
        <v>0</v>
      </c>
      <c r="D32" s="77">
        <f ca="1">SUMIFS($E$26:$E$32,$B$26:$B$32,"FDA-1",$D$26:$D$32,"VAGO")</f>
        <v>0</v>
      </c>
      <c r="E32" s="77">
        <f t="shared" ca="1" si="1"/>
        <v>0</v>
      </c>
      <c r="F32" s="78"/>
      <c r="G32" s="92">
        <f ca="1">SUMIF($B$26:$B$32,"FDA-1",$G$26:$G$32)</f>
        <v>0</v>
      </c>
      <c r="H32" s="92">
        <f ca="1">SUMIF($B$26:$B$32,"FDA-1",$H$26:$H$32)</f>
        <v>0</v>
      </c>
      <c r="I32" s="92">
        <f ca="1">SUMIF($B$26:$B$32,"FDA-1",$I$26:$I$32)</f>
        <v>0</v>
      </c>
      <c r="J32" s="56"/>
    </row>
    <row r="33" spans="1:10" x14ac:dyDescent="0.25">
      <c r="A33" s="75" t="s">
        <v>94</v>
      </c>
      <c r="B33" s="91" t="s">
        <v>95</v>
      </c>
      <c r="C33" s="77">
        <f>SUMIFS($E$26:$E$32,$B$26:$B$32,"FDA-2",$D$26:$D$32,"&lt;&gt;VAGO")</f>
        <v>0</v>
      </c>
      <c r="D33" s="77">
        <f>SUMIFS($E$26:$E$32,$B$26:$B$32,"FDA-2",$D$26:$D$32,"VAGO")</f>
        <v>0</v>
      </c>
      <c r="E33" s="77">
        <f t="shared" si="1"/>
        <v>0</v>
      </c>
      <c r="F33" s="61"/>
      <c r="G33" s="92">
        <f>SUMIF($B$26:$B$32,"FDA-2",$G$26:$G$32)</f>
        <v>0</v>
      </c>
      <c r="H33" s="92">
        <f>SUMIF($B$26:$B$32,"FDA-2",$H$26:$H$32)</f>
        <v>0</v>
      </c>
      <c r="I33" s="92">
        <f>SUMIF($B$26:$B$32,"FDA-2",$I$26:$I$32)</f>
        <v>0</v>
      </c>
      <c r="J33" s="56"/>
    </row>
    <row r="34" spans="1:10" x14ac:dyDescent="0.25">
      <c r="A34" s="75" t="s">
        <v>96</v>
      </c>
      <c r="B34" s="91" t="s">
        <v>3</v>
      </c>
      <c r="C34" s="77">
        <f>SUMIFS($E$26:$E$32,$B$26:$B$32,"FDA-3",$D$26:$D$32,"&lt;&gt;VAGO")</f>
        <v>3</v>
      </c>
      <c r="D34" s="77">
        <f>SUMIFS($E$26:$E$32,$B$26:$B$32,"FDA-3",$D$26:$D$32,"VAGO")</f>
        <v>0</v>
      </c>
      <c r="E34" s="77">
        <f t="shared" si="1"/>
        <v>3</v>
      </c>
      <c r="F34" s="82" t="s">
        <v>317</v>
      </c>
      <c r="G34" s="92">
        <v>15382</v>
      </c>
      <c r="H34" s="92">
        <v>9927.2800000000007</v>
      </c>
      <c r="I34" s="92">
        <v>25309.279999999999</v>
      </c>
      <c r="J34" s="56"/>
    </row>
    <row r="35" spans="1:10" x14ac:dyDescent="0.25">
      <c r="A35" s="75" t="s">
        <v>97</v>
      </c>
      <c r="B35" s="91" t="s">
        <v>1</v>
      </c>
      <c r="C35" s="77">
        <f>SUMIFS($E$26:$E$32,$B$26:$B$32,"FDA-4",$D$26:$D$32,"&lt;&gt;VAGO")</f>
        <v>1</v>
      </c>
      <c r="D35" s="77">
        <f>SUMIFS($E$26:$E$32,$B$26:$B$32,"FDA-4",$D$26:$D$32,"VAGO")</f>
        <v>0</v>
      </c>
      <c r="E35" s="77">
        <f t="shared" si="1"/>
        <v>1</v>
      </c>
      <c r="F35" s="61" t="s">
        <v>299</v>
      </c>
      <c r="G35" s="92">
        <f>SUMIF($B$26:$B$32,"FDA-4",$G$26:$G$32)</f>
        <v>7691</v>
      </c>
      <c r="H35" s="92">
        <f>SUMIF($B$26:$B$32,"FDA-4",$H$26:$H$32)</f>
        <v>3083.01</v>
      </c>
      <c r="I35" s="92">
        <f>SUMIF($B$26:$B$32,"FDA-4",$I$26:$I$32)</f>
        <v>10777.01</v>
      </c>
      <c r="J35" s="56"/>
    </row>
    <row r="36" spans="1:10" ht="22.5" x14ac:dyDescent="0.25">
      <c r="A36" s="72" t="s">
        <v>98</v>
      </c>
      <c r="B36" s="90"/>
      <c r="C36" s="73">
        <f t="shared" ref="C36:E36" ca="1" si="2">SUM(C32:C35)</f>
        <v>4</v>
      </c>
      <c r="D36" s="73">
        <f t="shared" ca="1" si="2"/>
        <v>0</v>
      </c>
      <c r="E36" s="73">
        <f t="shared" ca="1" si="2"/>
        <v>4</v>
      </c>
      <c r="F36" s="90"/>
      <c r="G36" s="93">
        <v>23073</v>
      </c>
      <c r="H36" s="93">
        <v>13010.29</v>
      </c>
      <c r="I36" s="93">
        <v>36086.29</v>
      </c>
      <c r="J36" s="56"/>
    </row>
    <row r="37" spans="1:10" x14ac:dyDescent="0.25">
      <c r="A37" s="94"/>
      <c r="B37" s="94"/>
      <c r="C37" s="94"/>
      <c r="D37" s="94"/>
      <c r="E37" s="94"/>
      <c r="F37" s="94"/>
      <c r="G37" s="94"/>
      <c r="H37" s="94"/>
      <c r="I37" s="95"/>
      <c r="J37" s="56"/>
    </row>
    <row r="38" spans="1:10" x14ac:dyDescent="0.25">
      <c r="A38" s="171" t="s">
        <v>99</v>
      </c>
      <c r="B38" s="125"/>
      <c r="C38" s="125"/>
      <c r="D38" s="125"/>
      <c r="E38" s="125"/>
      <c r="F38" s="125"/>
      <c r="G38" s="125"/>
      <c r="H38" s="125"/>
      <c r="I38" s="126"/>
      <c r="J38" s="56"/>
    </row>
    <row r="39" spans="1:10" ht="22.5" x14ac:dyDescent="0.25">
      <c r="A39" s="96" t="s">
        <v>100</v>
      </c>
      <c r="B39" s="64" t="s">
        <v>101</v>
      </c>
      <c r="C39" s="64" t="s">
        <v>102</v>
      </c>
      <c r="D39" s="64" t="s">
        <v>103</v>
      </c>
      <c r="E39" s="64" t="s">
        <v>104</v>
      </c>
      <c r="F39" s="64" t="s">
        <v>105</v>
      </c>
      <c r="G39" s="64" t="s">
        <v>106</v>
      </c>
      <c r="H39" s="64" t="s">
        <v>107</v>
      </c>
      <c r="I39" s="64" t="s">
        <v>108</v>
      </c>
      <c r="J39" s="56"/>
    </row>
    <row r="40" spans="1:10" x14ac:dyDescent="0.25">
      <c r="A40" s="97" t="s">
        <v>270</v>
      </c>
      <c r="B40" s="98" t="s">
        <v>4</v>
      </c>
      <c r="C40" s="99"/>
      <c r="D40" s="99" t="s">
        <v>24</v>
      </c>
      <c r="E40" s="100">
        <v>1</v>
      </c>
      <c r="F40" s="101" t="s">
        <v>271</v>
      </c>
      <c r="G40" s="102">
        <v>5933.35</v>
      </c>
      <c r="H40" s="102">
        <v>1392.8</v>
      </c>
      <c r="I40" s="92">
        <f>SUM(G40:H40)</f>
        <v>7326.1500000000005</v>
      </c>
      <c r="J40" s="103"/>
    </row>
    <row r="41" spans="1:10" x14ac:dyDescent="0.25">
      <c r="A41" s="97" t="s">
        <v>272</v>
      </c>
      <c r="B41" s="98" t="s">
        <v>4</v>
      </c>
      <c r="C41" s="99"/>
      <c r="D41" s="99" t="s">
        <v>24</v>
      </c>
      <c r="E41" s="100">
        <v>1</v>
      </c>
      <c r="F41" s="54" t="s">
        <v>222</v>
      </c>
      <c r="G41" s="102">
        <v>5675.13</v>
      </c>
      <c r="H41" s="102">
        <v>1392.8</v>
      </c>
      <c r="I41" s="92">
        <v>7067.93</v>
      </c>
      <c r="J41" s="103"/>
    </row>
    <row r="42" spans="1:10" x14ac:dyDescent="0.25">
      <c r="A42" s="104" t="s">
        <v>236</v>
      </c>
      <c r="B42" s="105" t="s">
        <v>4</v>
      </c>
      <c r="C42" s="105"/>
      <c r="D42" s="67" t="s">
        <v>24</v>
      </c>
      <c r="E42" s="76">
        <v>1</v>
      </c>
      <c r="F42" s="104" t="s">
        <v>218</v>
      </c>
      <c r="G42" s="102">
        <v>8075.56</v>
      </c>
      <c r="H42" s="102">
        <v>1392.8</v>
      </c>
      <c r="I42" s="92">
        <f>SUM(G42:H42)</f>
        <v>9468.36</v>
      </c>
      <c r="J42" s="56"/>
    </row>
    <row r="43" spans="1:10" x14ac:dyDescent="0.25">
      <c r="A43" s="54" t="s">
        <v>237</v>
      </c>
      <c r="B43" s="105" t="s">
        <v>4</v>
      </c>
      <c r="C43" s="67"/>
      <c r="D43" s="67" t="s">
        <v>24</v>
      </c>
      <c r="E43" s="76">
        <v>1</v>
      </c>
      <c r="F43" s="54" t="s">
        <v>276</v>
      </c>
      <c r="G43" s="102">
        <v>5250.46</v>
      </c>
      <c r="H43" s="102">
        <v>1392.8</v>
      </c>
      <c r="I43" s="92">
        <f t="shared" ref="I43:I77" si="3">SUM(G43:H43)</f>
        <v>6643.26</v>
      </c>
      <c r="J43" s="56"/>
    </row>
    <row r="44" spans="1:10" x14ac:dyDescent="0.25">
      <c r="A44" s="54" t="s">
        <v>238</v>
      </c>
      <c r="B44" s="105" t="s">
        <v>4</v>
      </c>
      <c r="C44" s="67"/>
      <c r="D44" s="67" t="s">
        <v>24</v>
      </c>
      <c r="E44" s="76">
        <v>1</v>
      </c>
      <c r="F44" s="54" t="s">
        <v>356</v>
      </c>
      <c r="G44" s="102">
        <v>5227.96</v>
      </c>
      <c r="H44" s="102">
        <v>1392.8</v>
      </c>
      <c r="I44" s="92">
        <f t="shared" si="3"/>
        <v>6620.76</v>
      </c>
      <c r="J44" s="56"/>
    </row>
    <row r="45" spans="1:10" x14ac:dyDescent="0.25">
      <c r="A45" s="54" t="s">
        <v>239</v>
      </c>
      <c r="B45" s="105" t="s">
        <v>4</v>
      </c>
      <c r="C45" s="67"/>
      <c r="D45" s="67" t="s">
        <v>24</v>
      </c>
      <c r="E45" s="76">
        <v>1</v>
      </c>
      <c r="F45" s="54" t="s">
        <v>240</v>
      </c>
      <c r="G45" s="102">
        <v>7691</v>
      </c>
      <c r="H45" s="102">
        <v>1392.8</v>
      </c>
      <c r="I45" s="92">
        <f t="shared" si="3"/>
        <v>9083.7999999999993</v>
      </c>
      <c r="J45" s="56"/>
    </row>
    <row r="46" spans="1:10" x14ac:dyDescent="0.25">
      <c r="A46" s="54" t="s">
        <v>241</v>
      </c>
      <c r="B46" s="105" t="s">
        <v>4</v>
      </c>
      <c r="C46" s="67"/>
      <c r="D46" s="67" t="s">
        <v>24</v>
      </c>
      <c r="E46" s="76">
        <v>1</v>
      </c>
      <c r="F46" s="54" t="s">
        <v>109</v>
      </c>
      <c r="G46" s="102">
        <v>8299.11</v>
      </c>
      <c r="H46" s="102">
        <v>1392.8</v>
      </c>
      <c r="I46" s="92">
        <f t="shared" si="3"/>
        <v>9691.91</v>
      </c>
      <c r="J46" s="56"/>
    </row>
    <row r="47" spans="1:10" x14ac:dyDescent="0.25">
      <c r="A47" s="54" t="s">
        <v>242</v>
      </c>
      <c r="B47" s="105" t="s">
        <v>4</v>
      </c>
      <c r="C47" s="67"/>
      <c r="D47" s="67" t="s">
        <v>24</v>
      </c>
      <c r="E47" s="76">
        <v>1</v>
      </c>
      <c r="F47" s="54" t="s">
        <v>277</v>
      </c>
      <c r="G47" s="102">
        <v>4902.3900000000003</v>
      </c>
      <c r="H47" s="102">
        <v>1392.8</v>
      </c>
      <c r="I47" s="92">
        <f t="shared" si="3"/>
        <v>6295.1900000000005</v>
      </c>
      <c r="J47" s="56"/>
    </row>
    <row r="48" spans="1:10" x14ac:dyDescent="0.25">
      <c r="A48" s="54" t="s">
        <v>243</v>
      </c>
      <c r="B48" s="105" t="s">
        <v>4</v>
      </c>
      <c r="C48" s="67"/>
      <c r="D48" s="67" t="s">
        <v>24</v>
      </c>
      <c r="E48" s="76">
        <v>1</v>
      </c>
      <c r="F48" s="54" t="s">
        <v>111</v>
      </c>
      <c r="G48" s="102">
        <v>7691</v>
      </c>
      <c r="H48" s="102">
        <v>1392.8</v>
      </c>
      <c r="I48" s="92">
        <f t="shared" si="3"/>
        <v>9083.7999999999993</v>
      </c>
      <c r="J48" s="56"/>
    </row>
    <row r="49" spans="1:10" x14ac:dyDescent="0.25">
      <c r="A49" s="54" t="s">
        <v>244</v>
      </c>
      <c r="B49" s="105" t="s">
        <v>4</v>
      </c>
      <c r="C49" s="67"/>
      <c r="D49" s="67" t="s">
        <v>24</v>
      </c>
      <c r="E49" s="76">
        <v>1</v>
      </c>
      <c r="F49" s="54" t="s">
        <v>215</v>
      </c>
      <c r="G49" s="102">
        <v>7691</v>
      </c>
      <c r="H49" s="102">
        <v>1392.8</v>
      </c>
      <c r="I49" s="92">
        <f t="shared" si="3"/>
        <v>9083.7999999999993</v>
      </c>
      <c r="J49" s="56"/>
    </row>
    <row r="50" spans="1:10" x14ac:dyDescent="0.25">
      <c r="A50" s="54" t="s">
        <v>245</v>
      </c>
      <c r="B50" s="105" t="s">
        <v>4</v>
      </c>
      <c r="C50" s="67"/>
      <c r="D50" s="67" t="s">
        <v>24</v>
      </c>
      <c r="E50" s="76">
        <v>1</v>
      </c>
      <c r="F50" s="54" t="s">
        <v>216</v>
      </c>
      <c r="G50" s="102">
        <v>8075.56</v>
      </c>
      <c r="H50" s="102">
        <v>1392.8</v>
      </c>
      <c r="I50" s="92">
        <f t="shared" si="3"/>
        <v>9468.36</v>
      </c>
      <c r="J50" s="56"/>
    </row>
    <row r="51" spans="1:10" x14ac:dyDescent="0.25">
      <c r="A51" s="54" t="s">
        <v>246</v>
      </c>
      <c r="B51" s="105" t="s">
        <v>4</v>
      </c>
      <c r="C51" s="67"/>
      <c r="D51" s="67" t="s">
        <v>24</v>
      </c>
      <c r="E51" s="76">
        <v>1</v>
      </c>
      <c r="F51" s="54" t="s">
        <v>112</v>
      </c>
      <c r="G51" s="102">
        <v>8075.56</v>
      </c>
      <c r="H51" s="102">
        <v>1392.8</v>
      </c>
      <c r="I51" s="92">
        <f t="shared" si="3"/>
        <v>9468.36</v>
      </c>
      <c r="J51" s="56"/>
    </row>
    <row r="52" spans="1:10" x14ac:dyDescent="0.25">
      <c r="A52" s="54" t="s">
        <v>247</v>
      </c>
      <c r="B52" s="105" t="s">
        <v>4</v>
      </c>
      <c r="C52" s="67"/>
      <c r="D52" s="67" t="s">
        <v>24</v>
      </c>
      <c r="E52" s="76">
        <v>1</v>
      </c>
      <c r="F52" s="54" t="s">
        <v>219</v>
      </c>
      <c r="G52" s="102">
        <v>7691</v>
      </c>
      <c r="H52" s="102">
        <v>1392.8</v>
      </c>
      <c r="I52" s="92">
        <f t="shared" si="3"/>
        <v>9083.7999999999993</v>
      </c>
      <c r="J52" s="56"/>
    </row>
    <row r="53" spans="1:10" x14ac:dyDescent="0.25">
      <c r="A53" s="54" t="s">
        <v>248</v>
      </c>
      <c r="B53" s="105" t="s">
        <v>4</v>
      </c>
      <c r="C53" s="67"/>
      <c r="D53" s="67" t="s">
        <v>24</v>
      </c>
      <c r="E53" s="76">
        <v>1</v>
      </c>
      <c r="F53" s="54" t="s">
        <v>113</v>
      </c>
      <c r="G53" s="102">
        <v>2295.89</v>
      </c>
      <c r="H53" s="102">
        <v>1392.8</v>
      </c>
      <c r="I53" s="92">
        <f t="shared" si="3"/>
        <v>3688.6899999999996</v>
      </c>
      <c r="J53" s="56"/>
    </row>
    <row r="54" spans="1:10" x14ac:dyDescent="0.25">
      <c r="A54" s="54" t="s">
        <v>249</v>
      </c>
      <c r="B54" s="105" t="s">
        <v>4</v>
      </c>
      <c r="C54" s="67"/>
      <c r="D54" s="67" t="s">
        <v>24</v>
      </c>
      <c r="E54" s="76">
        <v>1</v>
      </c>
      <c r="F54" s="54" t="s">
        <v>114</v>
      </c>
      <c r="G54" s="102">
        <v>5125.45</v>
      </c>
      <c r="H54" s="102">
        <v>1392.8</v>
      </c>
      <c r="I54" s="92">
        <f>SUM(G54:H54)</f>
        <v>6518.25</v>
      </c>
      <c r="J54" s="56"/>
    </row>
    <row r="55" spans="1:10" x14ac:dyDescent="0.25">
      <c r="A55" s="54" t="s">
        <v>250</v>
      </c>
      <c r="B55" s="105" t="s">
        <v>4</v>
      </c>
      <c r="C55" s="67"/>
      <c r="D55" s="67" t="s">
        <v>24</v>
      </c>
      <c r="E55" s="76">
        <v>1</v>
      </c>
      <c r="F55" s="54" t="s">
        <v>337</v>
      </c>
      <c r="G55" s="102">
        <v>5227.96</v>
      </c>
      <c r="H55" s="102">
        <v>1392.8</v>
      </c>
      <c r="I55" s="92">
        <f t="shared" si="3"/>
        <v>6620.76</v>
      </c>
      <c r="J55" s="56"/>
    </row>
    <row r="56" spans="1:10" x14ac:dyDescent="0.25">
      <c r="A56" s="54" t="s">
        <v>252</v>
      </c>
      <c r="B56" s="105" t="s">
        <v>4</v>
      </c>
      <c r="C56" s="67"/>
      <c r="D56" s="67" t="s">
        <v>24</v>
      </c>
      <c r="E56" s="76">
        <v>1</v>
      </c>
      <c r="F56" s="54" t="s">
        <v>115</v>
      </c>
      <c r="G56" s="102">
        <v>5933.35</v>
      </c>
      <c r="H56" s="102">
        <v>1392.8</v>
      </c>
      <c r="I56" s="92">
        <f t="shared" si="3"/>
        <v>7326.1500000000005</v>
      </c>
      <c r="J56" s="56"/>
    </row>
    <row r="57" spans="1:10" x14ac:dyDescent="0.25">
      <c r="A57" s="54" t="s">
        <v>253</v>
      </c>
      <c r="B57" s="105" t="s">
        <v>4</v>
      </c>
      <c r="C57" s="67"/>
      <c r="D57" s="67" t="s">
        <v>24</v>
      </c>
      <c r="E57" s="76">
        <v>1</v>
      </c>
      <c r="F57" s="54" t="s">
        <v>220</v>
      </c>
      <c r="G57" s="102">
        <v>5125.45</v>
      </c>
      <c r="H57" s="102">
        <v>1392.8</v>
      </c>
      <c r="I57" s="92">
        <f t="shared" si="3"/>
        <v>6518.25</v>
      </c>
      <c r="J57" s="56"/>
    </row>
    <row r="58" spans="1:10" x14ac:dyDescent="0.25">
      <c r="A58" s="54" t="s">
        <v>254</v>
      </c>
      <c r="B58" s="105" t="s">
        <v>4</v>
      </c>
      <c r="C58" s="67"/>
      <c r="D58" s="67" t="s">
        <v>24</v>
      </c>
      <c r="E58" s="76">
        <v>1</v>
      </c>
      <c r="F58" s="54" t="s">
        <v>116</v>
      </c>
      <c r="G58" s="102">
        <v>5404.89</v>
      </c>
      <c r="H58" s="102">
        <v>1392.8</v>
      </c>
      <c r="I58" s="92">
        <f t="shared" si="3"/>
        <v>6797.6900000000005</v>
      </c>
      <c r="J58" s="56"/>
    </row>
    <row r="59" spans="1:10" x14ac:dyDescent="0.25">
      <c r="A59" s="54" t="s">
        <v>255</v>
      </c>
      <c r="B59" s="105" t="s">
        <v>4</v>
      </c>
      <c r="C59" s="67"/>
      <c r="D59" s="67" t="s">
        <v>24</v>
      </c>
      <c r="E59" s="76">
        <v>1</v>
      </c>
      <c r="F59" s="54" t="s">
        <v>261</v>
      </c>
      <c r="G59" s="102">
        <v>5650.81</v>
      </c>
      <c r="H59" s="102">
        <v>1392.8</v>
      </c>
      <c r="I59" s="92">
        <f t="shared" si="3"/>
        <v>7043.6100000000006</v>
      </c>
      <c r="J59" s="56"/>
    </row>
    <row r="60" spans="1:10" x14ac:dyDescent="0.25">
      <c r="A60" s="54" t="s">
        <v>256</v>
      </c>
      <c r="B60" s="105" t="s">
        <v>4</v>
      </c>
      <c r="C60" s="67"/>
      <c r="D60" s="67" t="s">
        <v>117</v>
      </c>
      <c r="E60" s="76">
        <v>1</v>
      </c>
      <c r="F60" s="54" t="s">
        <v>357</v>
      </c>
      <c r="G60" s="102">
        <v>0</v>
      </c>
      <c r="H60" s="102">
        <v>1392.8</v>
      </c>
      <c r="I60" s="92">
        <f t="shared" si="3"/>
        <v>1392.8</v>
      </c>
      <c r="J60" s="56"/>
    </row>
    <row r="61" spans="1:10" x14ac:dyDescent="0.25">
      <c r="A61" s="54" t="s">
        <v>258</v>
      </c>
      <c r="B61" s="105" t="s">
        <v>4</v>
      </c>
      <c r="C61" s="67"/>
      <c r="D61" s="67" t="s">
        <v>24</v>
      </c>
      <c r="E61" s="76">
        <v>1</v>
      </c>
      <c r="F61" s="54" t="s">
        <v>232</v>
      </c>
      <c r="G61" s="102">
        <v>8075.56</v>
      </c>
      <c r="H61" s="102">
        <v>1392.8</v>
      </c>
      <c r="I61" s="92">
        <f t="shared" si="3"/>
        <v>9468.36</v>
      </c>
      <c r="J61" s="56"/>
    </row>
    <row r="62" spans="1:10" x14ac:dyDescent="0.25">
      <c r="A62" s="54" t="s">
        <v>341</v>
      </c>
      <c r="B62" s="105" t="s">
        <v>4</v>
      </c>
      <c r="C62" s="67"/>
      <c r="D62" s="67" t="s">
        <v>24</v>
      </c>
      <c r="E62" s="76">
        <v>1</v>
      </c>
      <c r="F62" s="54" t="s">
        <v>235</v>
      </c>
      <c r="G62" s="102">
        <v>2531.2199999999998</v>
      </c>
      <c r="H62" s="102">
        <v>1392.8</v>
      </c>
      <c r="I62" s="92">
        <f t="shared" si="3"/>
        <v>3924.0199999999995</v>
      </c>
      <c r="J62" s="56"/>
    </row>
    <row r="63" spans="1:10" ht="22.5" x14ac:dyDescent="0.25">
      <c r="A63" s="54" t="s">
        <v>259</v>
      </c>
      <c r="B63" s="105" t="s">
        <v>5</v>
      </c>
      <c r="C63" s="67"/>
      <c r="D63" s="67" t="s">
        <v>24</v>
      </c>
      <c r="E63" s="76">
        <v>1</v>
      </c>
      <c r="F63" s="54" t="s">
        <v>334</v>
      </c>
      <c r="G63" s="102" t="s">
        <v>301</v>
      </c>
      <c r="H63" s="102" t="s">
        <v>318</v>
      </c>
      <c r="I63" s="92" t="s">
        <v>303</v>
      </c>
      <c r="J63" s="56"/>
    </row>
    <row r="64" spans="1:10" x14ac:dyDescent="0.25">
      <c r="A64" s="54" t="s">
        <v>259</v>
      </c>
      <c r="B64" s="105" t="s">
        <v>5</v>
      </c>
      <c r="C64" s="67"/>
      <c r="D64" s="67" t="s">
        <v>24</v>
      </c>
      <c r="E64" s="76">
        <v>1</v>
      </c>
      <c r="F64" s="104" t="s">
        <v>264</v>
      </c>
      <c r="G64" s="102">
        <v>5404.89</v>
      </c>
      <c r="H64" s="102">
        <v>849.76</v>
      </c>
      <c r="I64" s="92">
        <v>6254.65</v>
      </c>
      <c r="J64" s="56"/>
    </row>
    <row r="65" spans="1:10" x14ac:dyDescent="0.25">
      <c r="A65" s="54" t="s">
        <v>259</v>
      </c>
      <c r="B65" s="105" t="s">
        <v>5</v>
      </c>
      <c r="C65" s="67"/>
      <c r="D65" s="67" t="s">
        <v>24</v>
      </c>
      <c r="E65" s="76">
        <v>1</v>
      </c>
      <c r="F65" s="54" t="s">
        <v>217</v>
      </c>
      <c r="G65" s="102">
        <v>5675.13</v>
      </c>
      <c r="H65" s="102">
        <v>849.76</v>
      </c>
      <c r="I65" s="92">
        <f t="shared" si="3"/>
        <v>6524.89</v>
      </c>
      <c r="J65" s="56"/>
    </row>
    <row r="66" spans="1:10" ht="22.5" x14ac:dyDescent="0.25">
      <c r="A66" s="54" t="s">
        <v>260</v>
      </c>
      <c r="B66" s="105" t="s">
        <v>6</v>
      </c>
      <c r="C66" s="67"/>
      <c r="D66" s="67" t="s">
        <v>117</v>
      </c>
      <c r="E66" s="76">
        <v>1</v>
      </c>
      <c r="F66" s="113" t="s">
        <v>358</v>
      </c>
      <c r="G66" s="102">
        <v>0</v>
      </c>
      <c r="H66" s="102">
        <v>505.81</v>
      </c>
      <c r="I66" s="92">
        <f t="shared" si="3"/>
        <v>505.81</v>
      </c>
      <c r="J66" s="56"/>
    </row>
    <row r="67" spans="1:10" x14ac:dyDescent="0.25">
      <c r="A67" s="54" t="s">
        <v>260</v>
      </c>
      <c r="B67" s="105" t="s">
        <v>6</v>
      </c>
      <c r="C67" s="67"/>
      <c r="D67" s="67" t="s">
        <v>24</v>
      </c>
      <c r="E67" s="76">
        <v>1</v>
      </c>
      <c r="F67" s="54" t="s">
        <v>233</v>
      </c>
      <c r="G67" s="102">
        <v>5046.58</v>
      </c>
      <c r="H67" s="102">
        <v>505.81</v>
      </c>
      <c r="I67" s="92">
        <f t="shared" si="3"/>
        <v>5552.39</v>
      </c>
      <c r="J67" s="56"/>
    </row>
    <row r="68" spans="1:10" x14ac:dyDescent="0.25">
      <c r="A68" s="54" t="s">
        <v>260</v>
      </c>
      <c r="B68" s="105" t="s">
        <v>6</v>
      </c>
      <c r="C68" s="67"/>
      <c r="D68" s="67" t="s">
        <v>117</v>
      </c>
      <c r="E68" s="76">
        <v>1</v>
      </c>
      <c r="F68" s="54" t="s">
        <v>359</v>
      </c>
      <c r="G68" s="102">
        <v>0</v>
      </c>
      <c r="H68" s="102">
        <v>505.81</v>
      </c>
      <c r="I68" s="92">
        <f t="shared" si="3"/>
        <v>505.81</v>
      </c>
      <c r="J68" s="56"/>
    </row>
    <row r="69" spans="1:10" x14ac:dyDescent="0.25">
      <c r="A69" s="54" t="s">
        <v>260</v>
      </c>
      <c r="B69" s="105" t="s">
        <v>6</v>
      </c>
      <c r="C69" s="105"/>
      <c r="D69" s="67" t="s">
        <v>117</v>
      </c>
      <c r="E69" s="76">
        <v>1</v>
      </c>
      <c r="F69" s="88" t="s">
        <v>360</v>
      </c>
      <c r="G69" s="102">
        <v>0</v>
      </c>
      <c r="H69" s="102">
        <v>505.81</v>
      </c>
      <c r="I69" s="92">
        <f t="shared" si="3"/>
        <v>505.81</v>
      </c>
      <c r="J69" s="56"/>
    </row>
    <row r="70" spans="1:10" x14ac:dyDescent="0.25">
      <c r="A70" s="54" t="s">
        <v>260</v>
      </c>
      <c r="B70" s="105" t="s">
        <v>6</v>
      </c>
      <c r="C70" s="105"/>
      <c r="D70" s="67" t="s">
        <v>24</v>
      </c>
      <c r="E70" s="76">
        <v>1</v>
      </c>
      <c r="F70" s="88" t="s">
        <v>304</v>
      </c>
      <c r="G70" s="102">
        <v>5763.82</v>
      </c>
      <c r="H70" s="102">
        <v>505.81</v>
      </c>
      <c r="I70" s="92">
        <f t="shared" si="3"/>
        <v>6269.63</v>
      </c>
      <c r="J70" s="56"/>
    </row>
    <row r="71" spans="1:10" x14ac:dyDescent="0.25">
      <c r="A71" s="104" t="s">
        <v>262</v>
      </c>
      <c r="B71" s="105" t="s">
        <v>7</v>
      </c>
      <c r="C71" s="105"/>
      <c r="D71" s="67" t="s">
        <v>24</v>
      </c>
      <c r="E71" s="76">
        <v>1</v>
      </c>
      <c r="F71" s="104" t="s">
        <v>229</v>
      </c>
      <c r="G71" s="102">
        <v>7691</v>
      </c>
      <c r="H71" s="102">
        <v>465.35</v>
      </c>
      <c r="I71" s="92">
        <f t="shared" si="3"/>
        <v>8156.35</v>
      </c>
      <c r="J71" s="56"/>
    </row>
    <row r="72" spans="1:10" x14ac:dyDescent="0.25">
      <c r="A72" s="104" t="s">
        <v>262</v>
      </c>
      <c r="B72" s="105" t="s">
        <v>7</v>
      </c>
      <c r="C72" s="105"/>
      <c r="D72" s="67" t="s">
        <v>117</v>
      </c>
      <c r="E72" s="76">
        <v>1</v>
      </c>
      <c r="F72" s="104" t="s">
        <v>361</v>
      </c>
      <c r="G72" s="102">
        <v>0</v>
      </c>
      <c r="H72" s="102">
        <v>465.35</v>
      </c>
      <c r="I72" s="92">
        <f t="shared" si="3"/>
        <v>465.35</v>
      </c>
      <c r="J72" s="56"/>
    </row>
    <row r="73" spans="1:10" x14ac:dyDescent="0.25">
      <c r="A73" s="104" t="s">
        <v>262</v>
      </c>
      <c r="B73" s="105" t="s">
        <v>7</v>
      </c>
      <c r="C73" s="105"/>
      <c r="D73" s="67"/>
      <c r="E73" s="76">
        <v>1</v>
      </c>
      <c r="F73" s="106" t="s">
        <v>346</v>
      </c>
      <c r="G73" s="102">
        <v>0</v>
      </c>
      <c r="H73" s="102">
        <v>0</v>
      </c>
      <c r="I73" s="92">
        <f t="shared" si="3"/>
        <v>0</v>
      </c>
      <c r="J73" s="56"/>
    </row>
    <row r="74" spans="1:10" x14ac:dyDescent="0.25">
      <c r="A74" s="104" t="s">
        <v>262</v>
      </c>
      <c r="B74" s="105" t="s">
        <v>7</v>
      </c>
      <c r="C74" s="105"/>
      <c r="D74" s="67" t="s">
        <v>117</v>
      </c>
      <c r="E74" s="76">
        <v>1</v>
      </c>
      <c r="F74" s="104" t="s">
        <v>362</v>
      </c>
      <c r="G74" s="102">
        <v>0</v>
      </c>
      <c r="H74" s="102">
        <v>465.35</v>
      </c>
      <c r="I74" s="92">
        <f t="shared" si="3"/>
        <v>465.35</v>
      </c>
      <c r="J74" s="56"/>
    </row>
    <row r="75" spans="1:10" x14ac:dyDescent="0.25">
      <c r="A75" s="104" t="s">
        <v>262</v>
      </c>
      <c r="B75" s="105" t="s">
        <v>7</v>
      </c>
      <c r="C75" s="105"/>
      <c r="D75" s="67" t="s">
        <v>24</v>
      </c>
      <c r="E75" s="76">
        <v>1</v>
      </c>
      <c r="F75" s="104" t="s">
        <v>305</v>
      </c>
      <c r="G75" s="102">
        <v>5563.85</v>
      </c>
      <c r="H75" s="102">
        <v>465.35</v>
      </c>
      <c r="I75" s="92">
        <f t="shared" si="3"/>
        <v>6029.2000000000007</v>
      </c>
      <c r="J75" s="56"/>
    </row>
    <row r="76" spans="1:10" x14ac:dyDescent="0.25">
      <c r="A76" s="104" t="s">
        <v>262</v>
      </c>
      <c r="B76" s="105" t="s">
        <v>7</v>
      </c>
      <c r="C76" s="105"/>
      <c r="D76" s="67" t="s">
        <v>24</v>
      </c>
      <c r="E76" s="76">
        <v>1</v>
      </c>
      <c r="F76" s="104" t="s">
        <v>273</v>
      </c>
      <c r="G76" s="102">
        <v>4440.25</v>
      </c>
      <c r="H76" s="102">
        <v>465.35</v>
      </c>
      <c r="I76" s="92">
        <f t="shared" si="3"/>
        <v>4905.6000000000004</v>
      </c>
      <c r="J76" s="56"/>
    </row>
    <row r="77" spans="1:10" x14ac:dyDescent="0.25">
      <c r="A77" s="104" t="s">
        <v>262</v>
      </c>
      <c r="B77" s="105" t="s">
        <v>7</v>
      </c>
      <c r="C77" s="105"/>
      <c r="D77" s="67" t="s">
        <v>117</v>
      </c>
      <c r="E77" s="76">
        <v>1</v>
      </c>
      <c r="F77" s="104" t="s">
        <v>363</v>
      </c>
      <c r="G77" s="102">
        <v>0</v>
      </c>
      <c r="H77" s="102">
        <v>465.35</v>
      </c>
      <c r="I77" s="92">
        <f t="shared" si="3"/>
        <v>465.35</v>
      </c>
      <c r="J77" s="56"/>
    </row>
    <row r="78" spans="1:10" ht="33.75" x14ac:dyDescent="0.25">
      <c r="A78" s="72" t="s">
        <v>120</v>
      </c>
      <c r="B78" s="72" t="s">
        <v>121</v>
      </c>
      <c r="C78" s="73" t="s">
        <v>122</v>
      </c>
      <c r="D78" s="73" t="s">
        <v>123</v>
      </c>
      <c r="E78" s="73" t="s">
        <v>124</v>
      </c>
      <c r="F78" s="90"/>
      <c r="G78" s="73" t="s">
        <v>125</v>
      </c>
      <c r="H78" s="73" t="s">
        <v>126</v>
      </c>
      <c r="I78" s="73" t="s">
        <v>127</v>
      </c>
      <c r="J78" s="56"/>
    </row>
    <row r="79" spans="1:10" x14ac:dyDescent="0.25">
      <c r="A79" s="75" t="s">
        <v>128</v>
      </c>
      <c r="B79" s="91" t="s">
        <v>4</v>
      </c>
      <c r="C79" s="77">
        <v>23</v>
      </c>
      <c r="D79" s="77">
        <v>0</v>
      </c>
      <c r="E79" s="77">
        <v>23</v>
      </c>
      <c r="F79" s="78"/>
      <c r="G79" s="92">
        <v>135649.66</v>
      </c>
      <c r="H79" s="92">
        <v>32234.400000000001</v>
      </c>
      <c r="I79" s="92">
        <v>167984.06</v>
      </c>
      <c r="J79" s="56"/>
    </row>
    <row r="80" spans="1:10" ht="33.75" x14ac:dyDescent="0.25">
      <c r="A80" s="75" t="s">
        <v>129</v>
      </c>
      <c r="B80" s="91" t="s">
        <v>130</v>
      </c>
      <c r="C80" s="77">
        <f>SUMIFS($E$45:$E$80,$B$45:$B$80,"FGS-2",$D$45:$D$80,"&lt;&gt;VAGO")</f>
        <v>3</v>
      </c>
      <c r="D80" s="77">
        <f>SUMIFS($E$45:$E$80,$B$45:$B$80,"FGS-2",$D$45:$D$80,"VAGO")</f>
        <v>0</v>
      </c>
      <c r="E80" s="77">
        <f t="shared" ref="E80:E84" si="4">C80+D80</f>
        <v>3</v>
      </c>
      <c r="F80" s="61" t="s">
        <v>331</v>
      </c>
      <c r="G80" s="92">
        <v>25123.200000000001</v>
      </c>
      <c r="H80" s="92">
        <v>3399.04</v>
      </c>
      <c r="I80" s="92">
        <v>28522.240000000002</v>
      </c>
      <c r="J80" s="56"/>
    </row>
    <row r="81" spans="1:10" x14ac:dyDescent="0.25">
      <c r="A81" s="75" t="s">
        <v>131</v>
      </c>
      <c r="B81" s="91" t="s">
        <v>132</v>
      </c>
      <c r="C81" s="77">
        <f>SUMIFS($E$45:$E$80,$B$45:$B$80,"FGS-3",$D$45:$D$80,"&lt;&gt;VAGO")</f>
        <v>0</v>
      </c>
      <c r="D81" s="77">
        <f>SUMIFS($E$45:$E$80,$B$45:$B$80,"FGS-3",$D$45:$D$80,"VAGO")</f>
        <v>0</v>
      </c>
      <c r="E81" s="77">
        <f t="shared" si="4"/>
        <v>0</v>
      </c>
      <c r="F81" s="61"/>
      <c r="G81" s="92">
        <f>SUMIF($B$45:$B$80,"FGS-3",$G$45:$G$80)</f>
        <v>0</v>
      </c>
      <c r="H81" s="92">
        <f>SUMIF($B$45:$B$80,"FGS-3",$G$45:$G$80)</f>
        <v>0</v>
      </c>
      <c r="I81" s="92">
        <f>SUMIF($B$45:$B$80,"FGS-3",$G$45:$G$80)</f>
        <v>0</v>
      </c>
      <c r="J81" s="56"/>
    </row>
    <row r="82" spans="1:10" x14ac:dyDescent="0.25">
      <c r="A82" s="81" t="s">
        <v>133</v>
      </c>
      <c r="B82" s="107" t="s">
        <v>134</v>
      </c>
      <c r="C82" s="77">
        <v>5</v>
      </c>
      <c r="D82" s="77">
        <v>0</v>
      </c>
      <c r="E82" s="77">
        <f t="shared" si="4"/>
        <v>5</v>
      </c>
      <c r="F82" s="82"/>
      <c r="G82" s="92">
        <v>10810.4</v>
      </c>
      <c r="H82" s="92">
        <v>2528.9499999999998</v>
      </c>
      <c r="I82" s="92" t="s">
        <v>364</v>
      </c>
      <c r="J82" s="56"/>
    </row>
    <row r="83" spans="1:10" x14ac:dyDescent="0.25">
      <c r="A83" s="75" t="s">
        <v>135</v>
      </c>
      <c r="B83" s="91" t="s">
        <v>7</v>
      </c>
      <c r="C83" s="77">
        <v>6</v>
      </c>
      <c r="D83" s="77">
        <v>1</v>
      </c>
      <c r="E83" s="77">
        <v>7</v>
      </c>
      <c r="F83" s="82"/>
      <c r="G83" s="92">
        <v>17695.099999999999</v>
      </c>
      <c r="H83" s="92">
        <v>2792.1</v>
      </c>
      <c r="I83" s="92">
        <v>20487.2</v>
      </c>
      <c r="J83" s="56"/>
    </row>
    <row r="84" spans="1:10" x14ac:dyDescent="0.25">
      <c r="A84" s="75" t="s">
        <v>136</v>
      </c>
      <c r="B84" s="91" t="s">
        <v>137</v>
      </c>
      <c r="C84" s="77">
        <f>SUMIFS($E$45:$E$80,$B$45:$B$80,"FGA-3",$D$45:$D$80,"&lt;&gt;VAGO")</f>
        <v>0</v>
      </c>
      <c r="D84" s="77">
        <f>SUMIFS($E$45:$E$80,$B$45:$B$80,"FGA-3",$D$45:$D$80,"VAGO")</f>
        <v>0</v>
      </c>
      <c r="E84" s="77">
        <f t="shared" si="4"/>
        <v>0</v>
      </c>
      <c r="F84" s="61"/>
      <c r="G84" s="92">
        <f>SUMIF($B$45:$B$80,"FGA-3",$G$45:$G$80)</f>
        <v>0</v>
      </c>
      <c r="H84" s="92">
        <f>SUMIF($B$45:$B$80,"FGA-3",$G$45:$G$80)</f>
        <v>0</v>
      </c>
      <c r="I84" s="92">
        <f>SUMIF($B$45:$B$80,"FGA-3",$G$45:$G$80)</f>
        <v>0</v>
      </c>
      <c r="J84" s="56"/>
    </row>
    <row r="85" spans="1:10" ht="22.5" x14ac:dyDescent="0.25">
      <c r="A85" s="72" t="s">
        <v>138</v>
      </c>
      <c r="B85" s="90"/>
      <c r="C85" s="73">
        <f t="shared" ref="C85:E85" si="5">SUM(C79:C84)</f>
        <v>37</v>
      </c>
      <c r="D85" s="73">
        <f t="shared" si="5"/>
        <v>1</v>
      </c>
      <c r="E85" s="73">
        <f t="shared" si="5"/>
        <v>38</v>
      </c>
      <c r="F85" s="90"/>
      <c r="G85" s="93">
        <v>188861.62</v>
      </c>
      <c r="H85" s="93">
        <f>SUM(H79:H84)</f>
        <v>40954.49</v>
      </c>
      <c r="I85" s="93">
        <v>229332.85</v>
      </c>
      <c r="J85" s="56"/>
    </row>
    <row r="86" spans="1:10" x14ac:dyDescent="0.25">
      <c r="A86" s="85"/>
      <c r="B86" s="85"/>
      <c r="C86" s="85"/>
      <c r="D86" s="85"/>
      <c r="E86" s="85"/>
      <c r="F86" s="85"/>
      <c r="G86" s="85"/>
      <c r="H86" s="85"/>
      <c r="I86" s="108"/>
      <c r="J86" s="56"/>
    </row>
    <row r="87" spans="1:10" ht="45" x14ac:dyDescent="0.25">
      <c r="A87" s="72"/>
      <c r="B87" s="72"/>
      <c r="C87" s="73" t="s">
        <v>139</v>
      </c>
      <c r="D87" s="73" t="s">
        <v>140</v>
      </c>
      <c r="E87" s="73" t="s">
        <v>141</v>
      </c>
      <c r="F87" s="83"/>
      <c r="G87" s="73" t="s">
        <v>142</v>
      </c>
      <c r="H87" s="73" t="s">
        <v>143</v>
      </c>
      <c r="I87" s="73" t="s">
        <v>144</v>
      </c>
      <c r="J87" s="56"/>
    </row>
    <row r="88" spans="1:10" ht="22.5" x14ac:dyDescent="0.25">
      <c r="A88" s="72" t="s">
        <v>145</v>
      </c>
      <c r="B88" s="83"/>
      <c r="C88" s="73">
        <v>48</v>
      </c>
      <c r="D88" s="73">
        <v>1</v>
      </c>
      <c r="E88" s="73">
        <v>49</v>
      </c>
      <c r="F88" s="83"/>
      <c r="G88" s="93">
        <f>SUM(H22+G36+G85)</f>
        <v>224713.86</v>
      </c>
      <c r="H88" s="93">
        <f>SUM(I22+H36+H85)</f>
        <v>81860.39</v>
      </c>
      <c r="I88" s="93">
        <v>306574.25</v>
      </c>
      <c r="J88" s="56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108"/>
      <c r="J89" s="56"/>
    </row>
    <row r="90" spans="1:10" x14ac:dyDescent="0.25">
      <c r="A90" s="172" t="s">
        <v>146</v>
      </c>
      <c r="B90" s="173"/>
      <c r="C90" s="173"/>
      <c r="D90" s="173"/>
      <c r="E90" s="173"/>
      <c r="F90" s="174"/>
      <c r="G90" s="86"/>
      <c r="H90" s="85"/>
      <c r="I90" s="85"/>
      <c r="J90" s="56"/>
    </row>
    <row r="91" spans="1:10" ht="15" customHeight="1" x14ac:dyDescent="0.25">
      <c r="A91" s="131" t="s">
        <v>147</v>
      </c>
      <c r="B91" s="152"/>
      <c r="C91" s="152"/>
      <c r="D91" s="152"/>
      <c r="E91" s="152"/>
      <c r="F91" s="153"/>
      <c r="G91" s="86"/>
      <c r="H91" s="85"/>
      <c r="I91" s="85"/>
      <c r="J91" s="56"/>
    </row>
    <row r="92" spans="1:10" ht="15" customHeight="1" x14ac:dyDescent="0.25">
      <c r="A92" s="131" t="s">
        <v>148</v>
      </c>
      <c r="B92" s="152"/>
      <c r="C92" s="152"/>
      <c r="D92" s="152"/>
      <c r="E92" s="152"/>
      <c r="F92" s="153"/>
      <c r="G92" s="86"/>
      <c r="H92" s="85"/>
      <c r="I92" s="85"/>
      <c r="J92" s="56"/>
    </row>
    <row r="93" spans="1:10" ht="15" customHeight="1" x14ac:dyDescent="0.25">
      <c r="A93" s="124" t="s">
        <v>149</v>
      </c>
      <c r="B93" s="164"/>
      <c r="C93" s="164"/>
      <c r="D93" s="164"/>
      <c r="E93" s="164"/>
      <c r="F93" s="165"/>
      <c r="G93" s="86"/>
      <c r="H93" s="85"/>
      <c r="I93" s="85"/>
      <c r="J93" s="56"/>
    </row>
    <row r="94" spans="1:10" ht="15" customHeight="1" x14ac:dyDescent="0.25">
      <c r="A94" s="124" t="s">
        <v>150</v>
      </c>
      <c r="B94" s="164"/>
      <c r="C94" s="164"/>
      <c r="D94" s="164"/>
      <c r="E94" s="164"/>
      <c r="F94" s="165"/>
      <c r="G94" s="86"/>
      <c r="H94" s="85"/>
      <c r="I94" s="85"/>
      <c r="J94" s="56"/>
    </row>
    <row r="95" spans="1:10" ht="15" customHeight="1" x14ac:dyDescent="0.25">
      <c r="A95" s="124" t="s">
        <v>151</v>
      </c>
      <c r="B95" s="164"/>
      <c r="C95" s="164"/>
      <c r="D95" s="164"/>
      <c r="E95" s="164"/>
      <c r="F95" s="165"/>
      <c r="G95" s="86"/>
      <c r="H95" s="85"/>
      <c r="I95" s="85"/>
      <c r="J95" s="56"/>
    </row>
    <row r="96" spans="1:10" ht="15" customHeight="1" x14ac:dyDescent="0.25">
      <c r="A96" s="124" t="s">
        <v>228</v>
      </c>
      <c r="B96" s="164"/>
      <c r="C96" s="164"/>
      <c r="D96" s="164"/>
      <c r="E96" s="164"/>
      <c r="F96" s="165"/>
      <c r="G96" s="86"/>
      <c r="H96" s="85"/>
      <c r="I96" s="85"/>
      <c r="J96" s="56"/>
    </row>
    <row r="97" spans="1:10" ht="15" customHeight="1" x14ac:dyDescent="0.25">
      <c r="A97" s="124" t="s">
        <v>234</v>
      </c>
      <c r="B97" s="164"/>
      <c r="C97" s="164"/>
      <c r="D97" s="164"/>
      <c r="E97" s="164"/>
      <c r="F97" s="165"/>
      <c r="G97" s="86"/>
      <c r="H97" s="85"/>
      <c r="I97" s="85"/>
      <c r="J97" s="56"/>
    </row>
    <row r="98" spans="1:10" ht="15" customHeight="1" x14ac:dyDescent="0.25">
      <c r="A98" s="124" t="s">
        <v>265</v>
      </c>
      <c r="B98" s="164"/>
      <c r="C98" s="164"/>
      <c r="D98" s="164"/>
      <c r="E98" s="164"/>
      <c r="F98" s="165"/>
      <c r="G98" s="86"/>
      <c r="H98" s="85"/>
      <c r="I98" s="85"/>
      <c r="J98" s="56"/>
    </row>
    <row r="99" spans="1:10" x14ac:dyDescent="0.25">
      <c r="A99" s="178"/>
      <c r="B99" s="179"/>
      <c r="C99" s="179"/>
      <c r="D99" s="179"/>
      <c r="E99" s="179"/>
      <c r="F99" s="180"/>
      <c r="G99" s="86"/>
      <c r="H99" s="85"/>
      <c r="I99" s="85"/>
      <c r="J99" s="56"/>
    </row>
    <row r="100" spans="1:10" x14ac:dyDescent="0.25">
      <c r="A100" s="178"/>
      <c r="B100" s="179"/>
      <c r="C100" s="179"/>
      <c r="D100" s="179"/>
      <c r="E100" s="179"/>
      <c r="F100" s="180"/>
      <c r="G100" s="86"/>
      <c r="H100" s="85"/>
      <c r="I100" s="85"/>
      <c r="J100" s="56"/>
    </row>
    <row r="101" spans="1:10" x14ac:dyDescent="0.25">
      <c r="A101" s="178"/>
      <c r="B101" s="179"/>
      <c r="C101" s="179"/>
      <c r="D101" s="179"/>
      <c r="E101" s="179"/>
      <c r="F101" s="180"/>
      <c r="G101" s="86"/>
      <c r="H101" s="85"/>
      <c r="I101" s="85"/>
      <c r="J101" s="56"/>
    </row>
    <row r="102" spans="1:10" x14ac:dyDescent="0.25">
      <c r="A102" s="181"/>
      <c r="B102" s="182"/>
      <c r="C102" s="182"/>
      <c r="D102" s="182"/>
      <c r="E102" s="182"/>
      <c r="F102" s="183"/>
      <c r="G102" s="86"/>
      <c r="H102" s="85"/>
      <c r="I102" s="85"/>
      <c r="J102" s="56"/>
    </row>
    <row r="103" spans="1:10" x14ac:dyDescent="0.25">
      <c r="A103" s="184"/>
      <c r="B103" s="185"/>
      <c r="C103" s="185"/>
      <c r="D103" s="185"/>
      <c r="E103" s="185"/>
      <c r="F103" s="186"/>
      <c r="G103" s="86"/>
      <c r="H103" s="85"/>
      <c r="I103" s="85"/>
      <c r="J103" s="56"/>
    </row>
    <row r="104" spans="1:10" x14ac:dyDescent="0.25">
      <c r="A104" s="187" t="s">
        <v>152</v>
      </c>
      <c r="B104" s="188"/>
      <c r="C104" s="188"/>
      <c r="D104" s="188"/>
      <c r="E104" s="188"/>
      <c r="F104" s="189"/>
      <c r="G104" s="86"/>
      <c r="H104" s="85"/>
      <c r="I104" s="85"/>
      <c r="J104" s="56"/>
    </row>
    <row r="105" spans="1:10" ht="15" customHeight="1" x14ac:dyDescent="0.25">
      <c r="A105" s="190" t="s">
        <v>153</v>
      </c>
      <c r="B105" s="191"/>
      <c r="C105" s="191"/>
      <c r="D105" s="191"/>
      <c r="E105" s="191"/>
      <c r="F105" s="192"/>
      <c r="G105" s="86"/>
      <c r="H105" s="85"/>
      <c r="I105" s="85"/>
      <c r="J105" s="56"/>
    </row>
    <row r="106" spans="1:10" ht="15" customHeight="1" x14ac:dyDescent="0.25">
      <c r="A106" s="175" t="s">
        <v>154</v>
      </c>
      <c r="B106" s="176"/>
      <c r="C106" s="176"/>
      <c r="D106" s="176"/>
      <c r="E106" s="176"/>
      <c r="F106" s="177"/>
      <c r="G106" s="86"/>
      <c r="H106" s="85"/>
      <c r="I106" s="85"/>
      <c r="J106" s="56"/>
    </row>
    <row r="107" spans="1:10" ht="15" customHeight="1" x14ac:dyDescent="0.25">
      <c r="A107" s="175" t="s">
        <v>155</v>
      </c>
      <c r="B107" s="176"/>
      <c r="C107" s="176"/>
      <c r="D107" s="176"/>
      <c r="E107" s="176"/>
      <c r="F107" s="177"/>
      <c r="G107" s="86"/>
      <c r="H107" s="85"/>
      <c r="I107" s="85"/>
      <c r="J107" s="56"/>
    </row>
    <row r="108" spans="1:10" ht="15" customHeight="1" x14ac:dyDescent="0.25">
      <c r="A108" s="175" t="s">
        <v>156</v>
      </c>
      <c r="B108" s="176"/>
      <c r="C108" s="176"/>
      <c r="D108" s="176"/>
      <c r="E108" s="176"/>
      <c r="F108" s="177"/>
      <c r="G108" s="86"/>
      <c r="H108" s="85"/>
      <c r="I108" s="85"/>
      <c r="J108" s="56"/>
    </row>
    <row r="109" spans="1:10" ht="15" customHeight="1" x14ac:dyDescent="0.25">
      <c r="A109" s="175" t="s">
        <v>157</v>
      </c>
      <c r="B109" s="176"/>
      <c r="C109" s="176"/>
      <c r="D109" s="176"/>
      <c r="E109" s="176"/>
      <c r="F109" s="177"/>
      <c r="G109" s="86"/>
      <c r="H109" s="85"/>
      <c r="I109" s="85"/>
      <c r="J109" s="56"/>
    </row>
    <row r="110" spans="1:10" ht="15" customHeight="1" x14ac:dyDescent="0.25">
      <c r="A110" s="175" t="s">
        <v>158</v>
      </c>
      <c r="B110" s="176"/>
      <c r="C110" s="176"/>
      <c r="D110" s="176"/>
      <c r="E110" s="176"/>
      <c r="F110" s="177"/>
      <c r="G110" s="86"/>
      <c r="H110" s="85"/>
      <c r="I110" s="85"/>
      <c r="J110" s="56"/>
    </row>
    <row r="111" spans="1:10" ht="15" customHeight="1" x14ac:dyDescent="0.25">
      <c r="A111" s="175" t="s">
        <v>159</v>
      </c>
      <c r="B111" s="176"/>
      <c r="C111" s="176"/>
      <c r="D111" s="176"/>
      <c r="E111" s="176"/>
      <c r="F111" s="177"/>
      <c r="G111" s="86"/>
      <c r="H111" s="85"/>
      <c r="I111" s="85"/>
      <c r="J111" s="56"/>
    </row>
    <row r="112" spans="1:10" ht="15" customHeight="1" x14ac:dyDescent="0.25">
      <c r="A112" s="175" t="s">
        <v>160</v>
      </c>
      <c r="B112" s="176"/>
      <c r="C112" s="176"/>
      <c r="D112" s="176"/>
      <c r="E112" s="176"/>
      <c r="F112" s="177"/>
      <c r="G112" s="86"/>
      <c r="H112" s="85"/>
      <c r="I112" s="85"/>
      <c r="J112" s="56"/>
    </row>
    <row r="113" spans="1:10" x14ac:dyDescent="0.25">
      <c r="A113" s="175" t="s">
        <v>161</v>
      </c>
      <c r="B113" s="176"/>
      <c r="C113" s="176"/>
      <c r="D113" s="176"/>
      <c r="E113" s="176"/>
      <c r="F113" s="177"/>
      <c r="G113" s="86"/>
      <c r="H113" s="85"/>
      <c r="I113" s="85"/>
      <c r="J113" s="56"/>
    </row>
    <row r="114" spans="1:10" x14ac:dyDescent="0.25">
      <c r="A114" s="175" t="s">
        <v>162</v>
      </c>
      <c r="B114" s="176"/>
      <c r="C114" s="176"/>
      <c r="D114" s="176"/>
      <c r="E114" s="176"/>
      <c r="F114" s="177"/>
      <c r="G114" s="86"/>
      <c r="H114" s="85"/>
      <c r="I114" s="85"/>
      <c r="J114" s="56"/>
    </row>
    <row r="115" spans="1:10" ht="15" customHeight="1" x14ac:dyDescent="0.25">
      <c r="A115" s="175" t="s">
        <v>163</v>
      </c>
      <c r="B115" s="176"/>
      <c r="C115" s="176"/>
      <c r="D115" s="176"/>
      <c r="E115" s="176"/>
      <c r="F115" s="177"/>
      <c r="G115" s="86"/>
      <c r="H115" s="85"/>
      <c r="I115" s="85"/>
      <c r="J115" s="56"/>
    </row>
    <row r="116" spans="1:10" ht="15" customHeight="1" x14ac:dyDescent="0.25">
      <c r="A116" s="175" t="s">
        <v>164</v>
      </c>
      <c r="B116" s="176"/>
      <c r="C116" s="176"/>
      <c r="D116" s="176"/>
      <c r="E116" s="176"/>
      <c r="F116" s="177"/>
      <c r="G116" s="86"/>
      <c r="H116" s="85"/>
      <c r="I116" s="85"/>
      <c r="J116" s="56"/>
    </row>
    <row r="117" spans="1:10" ht="15" customHeight="1" x14ac:dyDescent="0.25">
      <c r="A117" s="175" t="s">
        <v>165</v>
      </c>
      <c r="B117" s="176"/>
      <c r="C117" s="176"/>
      <c r="D117" s="176"/>
      <c r="E117" s="176"/>
      <c r="F117" s="177"/>
      <c r="G117" s="86"/>
      <c r="H117" s="85"/>
      <c r="I117" s="85"/>
      <c r="J117" s="56"/>
    </row>
    <row r="118" spans="1:10" ht="15" customHeight="1" x14ac:dyDescent="0.25">
      <c r="A118" s="175" t="s">
        <v>166</v>
      </c>
      <c r="B118" s="176"/>
      <c r="C118" s="176"/>
      <c r="D118" s="176"/>
      <c r="E118" s="176"/>
      <c r="F118" s="177"/>
      <c r="G118" s="86"/>
      <c r="H118" s="85"/>
      <c r="I118" s="85"/>
      <c r="J118" s="56"/>
    </row>
    <row r="119" spans="1:10" ht="15" customHeight="1" x14ac:dyDescent="0.25">
      <c r="A119" s="175" t="s">
        <v>167</v>
      </c>
      <c r="B119" s="176"/>
      <c r="C119" s="176"/>
      <c r="D119" s="176"/>
      <c r="E119" s="176"/>
      <c r="F119" s="177"/>
      <c r="G119" s="86"/>
      <c r="H119" s="85"/>
      <c r="I119" s="85"/>
      <c r="J119" s="56"/>
    </row>
    <row r="120" spans="1:10" ht="15" customHeight="1" x14ac:dyDescent="0.25">
      <c r="A120" s="175" t="s">
        <v>168</v>
      </c>
      <c r="B120" s="176"/>
      <c r="C120" s="176"/>
      <c r="D120" s="176"/>
      <c r="E120" s="176"/>
      <c r="F120" s="177"/>
      <c r="G120" s="86"/>
      <c r="H120" s="85"/>
      <c r="I120" s="85"/>
      <c r="J120" s="56"/>
    </row>
    <row r="121" spans="1:10" ht="15" customHeight="1" x14ac:dyDescent="0.25">
      <c r="A121" s="175" t="s">
        <v>169</v>
      </c>
      <c r="B121" s="176"/>
      <c r="C121" s="176"/>
      <c r="D121" s="176"/>
      <c r="E121" s="176"/>
      <c r="F121" s="177"/>
      <c r="G121" s="86"/>
      <c r="H121" s="85"/>
      <c r="I121" s="85"/>
      <c r="J121" s="56"/>
    </row>
    <row r="122" spans="1:10" ht="15" customHeight="1" x14ac:dyDescent="0.25">
      <c r="A122" s="175" t="s">
        <v>170</v>
      </c>
      <c r="B122" s="176"/>
      <c r="C122" s="176"/>
      <c r="D122" s="176"/>
      <c r="E122" s="176"/>
      <c r="F122" s="177"/>
      <c r="G122" s="86"/>
      <c r="H122" s="85"/>
      <c r="I122" s="85"/>
      <c r="J122" s="56"/>
    </row>
    <row r="123" spans="1:10" ht="15" customHeight="1" x14ac:dyDescent="0.25">
      <c r="A123" s="175" t="s">
        <v>171</v>
      </c>
      <c r="B123" s="176"/>
      <c r="C123" s="176"/>
      <c r="D123" s="176"/>
      <c r="E123" s="176"/>
      <c r="F123" s="177"/>
      <c r="G123" s="86"/>
      <c r="H123" s="85"/>
      <c r="I123" s="85"/>
      <c r="J123" s="56"/>
    </row>
    <row r="124" spans="1:10" ht="15" customHeight="1" x14ac:dyDescent="0.25">
      <c r="A124" s="175" t="s">
        <v>172</v>
      </c>
      <c r="B124" s="176"/>
      <c r="C124" s="176"/>
      <c r="D124" s="176"/>
      <c r="E124" s="176"/>
      <c r="F124" s="177"/>
      <c r="G124" s="86"/>
      <c r="H124" s="85"/>
      <c r="I124" s="85"/>
      <c r="J124" s="56"/>
    </row>
    <row r="125" spans="1:10" ht="15" customHeight="1" x14ac:dyDescent="0.25">
      <c r="A125" s="175" t="s">
        <v>173</v>
      </c>
      <c r="B125" s="176"/>
      <c r="C125" s="176"/>
      <c r="D125" s="176"/>
      <c r="E125" s="176"/>
      <c r="F125" s="177"/>
      <c r="G125" s="86"/>
      <c r="H125" s="85"/>
      <c r="I125" s="85"/>
      <c r="J125" s="56"/>
    </row>
    <row r="126" spans="1:10" ht="15" customHeight="1" x14ac:dyDescent="0.25">
      <c r="A126" s="175" t="s">
        <v>174</v>
      </c>
      <c r="B126" s="176"/>
      <c r="C126" s="176"/>
      <c r="D126" s="176"/>
      <c r="E126" s="176"/>
      <c r="F126" s="177"/>
      <c r="G126" s="86"/>
      <c r="H126" s="85"/>
      <c r="I126" s="85"/>
      <c r="J126" s="56"/>
    </row>
    <row r="127" spans="1:10" ht="15" customHeight="1" x14ac:dyDescent="0.25">
      <c r="A127" s="175" t="s">
        <v>175</v>
      </c>
      <c r="B127" s="176"/>
      <c r="C127" s="176"/>
      <c r="D127" s="176"/>
      <c r="E127" s="176"/>
      <c r="F127" s="177"/>
      <c r="G127" s="86"/>
      <c r="H127" s="85"/>
      <c r="I127" s="85"/>
      <c r="J127" s="56"/>
    </row>
    <row r="128" spans="1:10" ht="15" customHeight="1" x14ac:dyDescent="0.25">
      <c r="A128" s="175" t="s">
        <v>176</v>
      </c>
      <c r="B128" s="176"/>
      <c r="C128" s="176"/>
      <c r="D128" s="176"/>
      <c r="E128" s="176"/>
      <c r="F128" s="177"/>
      <c r="G128" s="86"/>
      <c r="H128" s="85"/>
      <c r="I128" s="85"/>
      <c r="J128" s="56"/>
    </row>
    <row r="129" spans="1:10" ht="15" customHeight="1" x14ac:dyDescent="0.25">
      <c r="A129" s="175" t="s">
        <v>177</v>
      </c>
      <c r="B129" s="176"/>
      <c r="C129" s="176"/>
      <c r="D129" s="176"/>
      <c r="E129" s="176"/>
      <c r="F129" s="177"/>
      <c r="G129" s="86"/>
      <c r="H129" s="85"/>
      <c r="I129" s="85"/>
      <c r="J129" s="56"/>
    </row>
    <row r="130" spans="1:10" ht="15" customHeight="1" x14ac:dyDescent="0.25">
      <c r="A130" s="175" t="s">
        <v>178</v>
      </c>
      <c r="B130" s="176"/>
      <c r="C130" s="176"/>
      <c r="D130" s="176"/>
      <c r="E130" s="176"/>
      <c r="F130" s="177"/>
      <c r="G130" s="86"/>
      <c r="H130" s="85"/>
      <c r="I130" s="85"/>
      <c r="J130" s="56"/>
    </row>
    <row r="131" spans="1:10" ht="15" customHeight="1" x14ac:dyDescent="0.25">
      <c r="A131" s="175" t="s">
        <v>179</v>
      </c>
      <c r="B131" s="176"/>
      <c r="C131" s="176"/>
      <c r="D131" s="176"/>
      <c r="E131" s="176"/>
      <c r="F131" s="177"/>
      <c r="G131" s="86"/>
      <c r="H131" s="85"/>
      <c r="I131" s="85"/>
      <c r="J131" s="56"/>
    </row>
    <row r="132" spans="1:10" x14ac:dyDescent="0.25">
      <c r="A132" s="175" t="s">
        <v>180</v>
      </c>
      <c r="B132" s="176"/>
      <c r="C132" s="176"/>
      <c r="D132" s="176"/>
      <c r="E132" s="176"/>
      <c r="F132" s="177"/>
      <c r="G132" s="86"/>
      <c r="H132" s="85"/>
      <c r="I132" s="85"/>
      <c r="J132" s="56"/>
    </row>
    <row r="133" spans="1:10" ht="15" customHeight="1" x14ac:dyDescent="0.25">
      <c r="A133" s="175" t="s">
        <v>181</v>
      </c>
      <c r="B133" s="176"/>
      <c r="C133" s="176"/>
      <c r="D133" s="176"/>
      <c r="E133" s="176"/>
      <c r="F133" s="177"/>
      <c r="G133" s="86"/>
      <c r="H133" s="85"/>
      <c r="I133" s="85"/>
      <c r="J133" s="56"/>
    </row>
    <row r="134" spans="1:10" ht="15" customHeight="1" x14ac:dyDescent="0.25">
      <c r="A134" s="175" t="s">
        <v>182</v>
      </c>
      <c r="B134" s="176"/>
      <c r="C134" s="176"/>
      <c r="D134" s="176"/>
      <c r="E134" s="176"/>
      <c r="F134" s="177"/>
      <c r="G134" s="86"/>
      <c r="H134" s="85"/>
      <c r="I134" s="85"/>
      <c r="J134" s="56"/>
    </row>
    <row r="135" spans="1:10" ht="15" customHeight="1" x14ac:dyDescent="0.25">
      <c r="A135" s="175" t="s">
        <v>183</v>
      </c>
      <c r="B135" s="176"/>
      <c r="C135" s="176"/>
      <c r="D135" s="176"/>
      <c r="E135" s="176"/>
      <c r="F135" s="177"/>
      <c r="G135" s="86"/>
      <c r="H135" s="85"/>
      <c r="I135" s="85"/>
      <c r="J135" s="56"/>
    </row>
    <row r="136" spans="1:10" ht="15" customHeight="1" x14ac:dyDescent="0.25">
      <c r="A136" s="175" t="s">
        <v>184</v>
      </c>
      <c r="B136" s="176"/>
      <c r="C136" s="176"/>
      <c r="D136" s="176"/>
      <c r="E136" s="176"/>
      <c r="F136" s="177"/>
      <c r="G136" s="86"/>
      <c r="H136" s="85"/>
      <c r="I136" s="85"/>
      <c r="J136" s="56"/>
    </row>
    <row r="137" spans="1:10" ht="15" customHeight="1" x14ac:dyDescent="0.25">
      <c r="A137" s="175" t="s">
        <v>185</v>
      </c>
      <c r="B137" s="176"/>
      <c r="C137" s="176"/>
      <c r="D137" s="176"/>
      <c r="E137" s="176"/>
      <c r="F137" s="177"/>
      <c r="G137" s="86"/>
      <c r="H137" s="85"/>
      <c r="I137" s="85"/>
      <c r="J137" s="56"/>
    </row>
    <row r="138" spans="1:10" ht="15" customHeight="1" x14ac:dyDescent="0.25">
      <c r="A138" s="175" t="s">
        <v>186</v>
      </c>
      <c r="B138" s="176"/>
      <c r="C138" s="176"/>
      <c r="D138" s="176"/>
      <c r="E138" s="176"/>
      <c r="F138" s="177"/>
      <c r="G138" s="86"/>
      <c r="H138" s="85"/>
      <c r="I138" s="85"/>
      <c r="J138" s="56"/>
    </row>
    <row r="139" spans="1:10" ht="15" customHeight="1" x14ac:dyDescent="0.25">
      <c r="A139" s="175" t="s">
        <v>187</v>
      </c>
      <c r="B139" s="176"/>
      <c r="C139" s="176"/>
      <c r="D139" s="176"/>
      <c r="E139" s="176"/>
      <c r="F139" s="177"/>
      <c r="G139" s="86"/>
      <c r="H139" s="85"/>
      <c r="I139" s="85"/>
      <c r="J139" s="56"/>
    </row>
    <row r="140" spans="1:10" ht="15" customHeight="1" x14ac:dyDescent="0.25">
      <c r="A140" s="175" t="s">
        <v>188</v>
      </c>
      <c r="B140" s="176"/>
      <c r="C140" s="176"/>
      <c r="D140" s="176"/>
      <c r="E140" s="176"/>
      <c r="F140" s="177"/>
      <c r="G140" s="86"/>
      <c r="H140" s="85"/>
      <c r="I140" s="85"/>
      <c r="J140" s="56"/>
    </row>
    <row r="141" spans="1:10" ht="15" customHeight="1" x14ac:dyDescent="0.25">
      <c r="A141" s="175" t="s">
        <v>189</v>
      </c>
      <c r="B141" s="176"/>
      <c r="C141" s="176"/>
      <c r="D141" s="176"/>
      <c r="E141" s="176"/>
      <c r="F141" s="177"/>
      <c r="G141" s="86"/>
      <c r="H141" s="85"/>
      <c r="I141" s="85"/>
      <c r="J141" s="56"/>
    </row>
    <row r="142" spans="1:10" ht="15" customHeight="1" x14ac:dyDescent="0.25">
      <c r="A142" s="175" t="s">
        <v>190</v>
      </c>
      <c r="B142" s="176"/>
      <c r="C142" s="176"/>
      <c r="D142" s="176"/>
      <c r="E142" s="176"/>
      <c r="F142" s="177"/>
      <c r="G142" s="86"/>
      <c r="H142" s="85"/>
      <c r="I142" s="85"/>
      <c r="J142" s="56"/>
    </row>
    <row r="143" spans="1:10" ht="15" customHeight="1" x14ac:dyDescent="0.25">
      <c r="A143" s="175" t="s">
        <v>191</v>
      </c>
      <c r="B143" s="176"/>
      <c r="C143" s="176"/>
      <c r="D143" s="176"/>
      <c r="E143" s="176"/>
      <c r="F143" s="177"/>
      <c r="G143" s="86"/>
      <c r="H143" s="85"/>
      <c r="I143" s="85"/>
      <c r="J143" s="56"/>
    </row>
    <row r="144" spans="1:10" ht="15" customHeight="1" x14ac:dyDescent="0.25">
      <c r="A144" s="175" t="s">
        <v>192</v>
      </c>
      <c r="B144" s="176"/>
      <c r="C144" s="176"/>
      <c r="D144" s="176"/>
      <c r="E144" s="176"/>
      <c r="F144" s="177"/>
      <c r="G144" s="86"/>
      <c r="H144" s="85"/>
      <c r="I144" s="85"/>
      <c r="J144" s="56"/>
    </row>
    <row r="145" spans="1:10" ht="15" customHeight="1" x14ac:dyDescent="0.25">
      <c r="A145" s="175" t="s">
        <v>193</v>
      </c>
      <c r="B145" s="176"/>
      <c r="C145" s="176"/>
      <c r="D145" s="176"/>
      <c r="E145" s="176"/>
      <c r="F145" s="177"/>
      <c r="G145" s="86"/>
      <c r="H145" s="85"/>
      <c r="I145" s="85"/>
      <c r="J145" s="56"/>
    </row>
    <row r="146" spans="1:10" ht="15" customHeight="1" x14ac:dyDescent="0.25">
      <c r="A146" s="175" t="s">
        <v>194</v>
      </c>
      <c r="B146" s="176"/>
      <c r="C146" s="176"/>
      <c r="D146" s="176"/>
      <c r="E146" s="176"/>
      <c r="F146" s="177"/>
      <c r="G146" s="35"/>
      <c r="H146" s="35"/>
      <c r="I146" s="35"/>
      <c r="J146" s="56"/>
    </row>
    <row r="147" spans="1:10" ht="15" customHeight="1" x14ac:dyDescent="0.25">
      <c r="A147" s="175" t="s">
        <v>195</v>
      </c>
      <c r="B147" s="176"/>
      <c r="C147" s="176"/>
      <c r="D147" s="176"/>
      <c r="E147" s="176"/>
      <c r="F147" s="177"/>
      <c r="G147" s="35"/>
      <c r="H147" s="35"/>
      <c r="I147" s="35"/>
      <c r="J147" s="56"/>
    </row>
    <row r="148" spans="1:10" ht="15" customHeight="1" x14ac:dyDescent="0.25">
      <c r="A148" s="175" t="s">
        <v>196</v>
      </c>
      <c r="B148" s="176"/>
      <c r="C148" s="176"/>
      <c r="D148" s="176"/>
      <c r="E148" s="176"/>
      <c r="F148" s="177"/>
      <c r="G148" s="35"/>
      <c r="H148" s="35"/>
      <c r="I148" s="35"/>
      <c r="J148" s="56"/>
    </row>
    <row r="149" spans="1:10" x14ac:dyDescent="0.25">
      <c r="A149" s="175" t="s">
        <v>197</v>
      </c>
      <c r="B149" s="176"/>
      <c r="C149" s="176"/>
      <c r="D149" s="176"/>
      <c r="E149" s="176"/>
      <c r="F149" s="177"/>
      <c r="G149" s="35"/>
      <c r="H149" s="35"/>
      <c r="I149" s="35"/>
      <c r="J149" s="56"/>
    </row>
    <row r="150" spans="1:10" ht="15" customHeight="1" x14ac:dyDescent="0.25">
      <c r="A150" s="175" t="s">
        <v>198</v>
      </c>
      <c r="B150" s="176"/>
      <c r="C150" s="176"/>
      <c r="D150" s="176"/>
      <c r="E150" s="176"/>
      <c r="F150" s="177"/>
      <c r="G150" s="35"/>
      <c r="H150" s="35"/>
      <c r="I150" s="35"/>
      <c r="J150" s="56"/>
    </row>
    <row r="151" spans="1:10" ht="15" customHeight="1" x14ac:dyDescent="0.25">
      <c r="A151" s="175" t="s">
        <v>199</v>
      </c>
      <c r="B151" s="176"/>
      <c r="C151" s="176"/>
      <c r="D151" s="176"/>
      <c r="E151" s="176"/>
      <c r="F151" s="177"/>
      <c r="G151" s="35"/>
      <c r="H151" s="35"/>
      <c r="I151" s="35"/>
      <c r="J151" s="56"/>
    </row>
    <row r="152" spans="1:10" ht="15" customHeight="1" x14ac:dyDescent="0.25">
      <c r="A152" s="175" t="s">
        <v>200</v>
      </c>
      <c r="B152" s="176"/>
      <c r="C152" s="176"/>
      <c r="D152" s="176"/>
      <c r="E152" s="176"/>
      <c r="F152" s="177"/>
      <c r="G152" s="35"/>
      <c r="H152" s="35"/>
      <c r="I152" s="35"/>
      <c r="J152" s="56"/>
    </row>
    <row r="153" spans="1:10" ht="15" customHeight="1" x14ac:dyDescent="0.25">
      <c r="A153" s="175" t="s">
        <v>201</v>
      </c>
      <c r="B153" s="176"/>
      <c r="C153" s="176"/>
      <c r="D153" s="176"/>
      <c r="E153" s="176"/>
      <c r="F153" s="177"/>
      <c r="G153" s="35"/>
      <c r="H153" s="35"/>
      <c r="I153" s="35"/>
      <c r="J153" s="56"/>
    </row>
    <row r="154" spans="1:10" ht="15" customHeight="1" x14ac:dyDescent="0.25">
      <c r="A154" s="175" t="s">
        <v>202</v>
      </c>
      <c r="B154" s="176"/>
      <c r="C154" s="176"/>
      <c r="D154" s="176"/>
      <c r="E154" s="176"/>
      <c r="F154" s="177"/>
      <c r="G154" s="35"/>
      <c r="H154" s="35"/>
      <c r="I154" s="35"/>
      <c r="J154" s="56"/>
    </row>
    <row r="155" spans="1:10" ht="15" customHeight="1" x14ac:dyDescent="0.25">
      <c r="A155" s="175" t="s">
        <v>203</v>
      </c>
      <c r="B155" s="176"/>
      <c r="C155" s="176"/>
      <c r="D155" s="176"/>
      <c r="E155" s="176"/>
      <c r="F155" s="177"/>
      <c r="G155" s="35"/>
      <c r="H155" s="35"/>
      <c r="I155" s="35"/>
      <c r="J155" s="56"/>
    </row>
    <row r="156" spans="1:10" ht="15" customHeight="1" x14ac:dyDescent="0.25">
      <c r="A156" s="175" t="s">
        <v>204</v>
      </c>
      <c r="B156" s="176"/>
      <c r="C156" s="176"/>
      <c r="D156" s="176"/>
      <c r="E156" s="176"/>
      <c r="F156" s="177"/>
      <c r="G156" s="35"/>
      <c r="H156" s="35"/>
      <c r="I156" s="35"/>
      <c r="J156" s="56"/>
    </row>
    <row r="157" spans="1:10" ht="15" customHeight="1" x14ac:dyDescent="0.25">
      <c r="A157" s="175" t="s">
        <v>205</v>
      </c>
      <c r="B157" s="176"/>
      <c r="C157" s="176"/>
      <c r="D157" s="176"/>
      <c r="E157" s="176"/>
      <c r="F157" s="177"/>
      <c r="G157" s="35"/>
      <c r="H157" s="35"/>
      <c r="I157" s="35"/>
      <c r="J157" s="56"/>
    </row>
    <row r="158" spans="1:10" ht="15" customHeight="1" x14ac:dyDescent="0.25">
      <c r="A158" s="175" t="s">
        <v>206</v>
      </c>
      <c r="B158" s="176"/>
      <c r="C158" s="176"/>
      <c r="D158" s="176"/>
      <c r="E158" s="176"/>
      <c r="F158" s="177"/>
      <c r="G158" s="35"/>
      <c r="H158" s="35"/>
      <c r="I158" s="35"/>
      <c r="J158" s="56"/>
    </row>
    <row r="159" spans="1:10" ht="15" customHeight="1" x14ac:dyDescent="0.25">
      <c r="A159" s="175" t="s">
        <v>207</v>
      </c>
      <c r="B159" s="176"/>
      <c r="C159" s="176"/>
      <c r="D159" s="176"/>
      <c r="E159" s="176"/>
      <c r="F159" s="177"/>
      <c r="G159" s="35"/>
      <c r="H159" s="35"/>
      <c r="I159" s="35"/>
      <c r="J159" s="56"/>
    </row>
    <row r="160" spans="1:10" ht="15" customHeight="1" x14ac:dyDescent="0.25">
      <c r="A160" s="175" t="s">
        <v>208</v>
      </c>
      <c r="B160" s="176"/>
      <c r="C160" s="176"/>
      <c r="D160" s="176"/>
      <c r="E160" s="176"/>
      <c r="F160" s="177"/>
      <c r="G160" s="35"/>
      <c r="H160" s="35"/>
      <c r="I160" s="35"/>
      <c r="J160" s="56"/>
    </row>
    <row r="161" spans="1:10" ht="15" customHeight="1" x14ac:dyDescent="0.25">
      <c r="A161" s="175" t="s">
        <v>209</v>
      </c>
      <c r="B161" s="176"/>
      <c r="C161" s="176"/>
      <c r="D161" s="176"/>
      <c r="E161" s="176"/>
      <c r="F161" s="177"/>
      <c r="G161" s="35"/>
      <c r="H161" s="35"/>
      <c r="I161" s="35"/>
      <c r="J161" s="56"/>
    </row>
    <row r="162" spans="1:10" ht="15" customHeight="1" x14ac:dyDescent="0.25">
      <c r="A162" s="175" t="s">
        <v>210</v>
      </c>
      <c r="B162" s="176"/>
      <c r="C162" s="176"/>
      <c r="D162" s="176"/>
      <c r="E162" s="176"/>
      <c r="F162" s="177"/>
      <c r="G162" s="35"/>
      <c r="H162" s="35"/>
      <c r="I162" s="35"/>
      <c r="J162" s="56"/>
    </row>
    <row r="163" spans="1:10" ht="15" customHeight="1" x14ac:dyDescent="0.25">
      <c r="A163" s="175" t="s">
        <v>211</v>
      </c>
      <c r="B163" s="176"/>
      <c r="C163" s="176"/>
      <c r="D163" s="176"/>
      <c r="E163" s="176"/>
      <c r="F163" s="177"/>
      <c r="G163" s="35"/>
      <c r="H163" s="35"/>
      <c r="I163" s="35"/>
      <c r="J163" s="56"/>
    </row>
    <row r="164" spans="1:10" ht="15" customHeight="1" x14ac:dyDescent="0.25">
      <c r="A164" s="175" t="s">
        <v>212</v>
      </c>
      <c r="B164" s="176"/>
      <c r="C164" s="176"/>
      <c r="D164" s="176"/>
      <c r="E164" s="176"/>
      <c r="F164" s="177"/>
      <c r="G164" s="35"/>
      <c r="H164" s="35"/>
      <c r="I164" s="35"/>
      <c r="J164" s="56"/>
    </row>
    <row r="165" spans="1:10" ht="15" customHeight="1" x14ac:dyDescent="0.25">
      <c r="A165" s="175" t="s">
        <v>213</v>
      </c>
      <c r="B165" s="176"/>
      <c r="C165" s="176"/>
      <c r="D165" s="176"/>
      <c r="E165" s="176"/>
      <c r="F165" s="177"/>
      <c r="G165" s="35"/>
      <c r="H165" s="35"/>
      <c r="I165" s="35"/>
      <c r="J165" s="56"/>
    </row>
    <row r="166" spans="1:10" x14ac:dyDescent="0.25">
      <c r="A166" s="109"/>
      <c r="B166" s="110"/>
      <c r="C166" s="110"/>
      <c r="D166" s="110"/>
      <c r="E166" s="110"/>
      <c r="F166" s="110"/>
      <c r="G166" s="35"/>
      <c r="H166" s="35"/>
      <c r="I166" s="35"/>
      <c r="J166" s="56"/>
    </row>
    <row r="167" spans="1:10" ht="33.75" customHeight="1" x14ac:dyDescent="0.25">
      <c r="A167" s="193" t="s">
        <v>330</v>
      </c>
      <c r="B167" s="193"/>
      <c r="C167" s="193"/>
      <c r="D167" s="193"/>
      <c r="E167" s="193"/>
      <c r="F167" s="193"/>
      <c r="G167" s="35"/>
      <c r="H167" s="35"/>
      <c r="I167" s="35"/>
      <c r="J167" s="56"/>
    </row>
    <row r="168" spans="1:10" x14ac:dyDescent="0.25">
      <c r="A168" s="109"/>
      <c r="B168" s="110"/>
      <c r="C168" s="110"/>
      <c r="D168" s="110"/>
      <c r="E168" s="110"/>
      <c r="F168" s="110"/>
      <c r="G168" s="35"/>
      <c r="H168" s="35"/>
      <c r="I168" s="35"/>
      <c r="J168" s="56"/>
    </row>
    <row r="169" spans="1:10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</row>
    <row r="170" spans="1:10" x14ac:dyDescent="0.25">
      <c r="A170" s="56" t="s">
        <v>365</v>
      </c>
      <c r="B170" s="56"/>
      <c r="C170" s="56"/>
      <c r="D170" s="56"/>
      <c r="E170" s="56"/>
      <c r="F170" s="56"/>
      <c r="G170" s="56"/>
      <c r="H170" s="56"/>
      <c r="I170" s="56"/>
      <c r="J170" s="56"/>
    </row>
    <row r="171" spans="1:10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</row>
    <row r="172" spans="1:10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</row>
    <row r="173" spans="1:10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</row>
    <row r="174" spans="1:10" x14ac:dyDescent="0.25">
      <c r="A174" s="111" t="s">
        <v>366</v>
      </c>
      <c r="B174" s="56"/>
      <c r="C174" s="56"/>
      <c r="D174" s="56"/>
      <c r="E174" s="56"/>
      <c r="F174" s="56"/>
      <c r="G174" s="56"/>
      <c r="H174" s="56"/>
      <c r="I174" s="56"/>
      <c r="J174" s="56"/>
    </row>
    <row r="175" spans="1:10" x14ac:dyDescent="0.25">
      <c r="A175" s="112" t="s">
        <v>10</v>
      </c>
      <c r="B175" s="56"/>
      <c r="C175" s="56"/>
      <c r="D175" s="56"/>
      <c r="E175" s="56"/>
      <c r="F175" s="56"/>
      <c r="G175" s="56"/>
      <c r="H175" s="56"/>
      <c r="I175" s="56"/>
      <c r="J175" s="56"/>
    </row>
    <row r="176" spans="1:10" x14ac:dyDescent="0.25">
      <c r="A176" s="111" t="s">
        <v>235</v>
      </c>
      <c r="B176" s="56"/>
      <c r="C176" s="56"/>
      <c r="D176" s="56"/>
      <c r="E176" s="56"/>
      <c r="F176" s="56"/>
      <c r="G176" s="56"/>
      <c r="H176" s="56"/>
      <c r="I176" s="56"/>
      <c r="J176" s="56"/>
    </row>
  </sheetData>
  <mergeCells count="82">
    <mergeCell ref="A97:F97"/>
    <mergeCell ref="A2:J2"/>
    <mergeCell ref="A24:I24"/>
    <mergeCell ref="A38:I38"/>
    <mergeCell ref="A90:F90"/>
    <mergeCell ref="A91:F91"/>
    <mergeCell ref="A92:F92"/>
    <mergeCell ref="A93:F93"/>
    <mergeCell ref="A94:F94"/>
    <mergeCell ref="A95:F95"/>
    <mergeCell ref="A96:F96"/>
    <mergeCell ref="A109:F109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21:F121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33:F133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45:F145"/>
    <mergeCell ref="A134:F134"/>
    <mergeCell ref="A135:F135"/>
    <mergeCell ref="A136:F136"/>
    <mergeCell ref="A137:F137"/>
    <mergeCell ref="A138:F138"/>
    <mergeCell ref="A139:F139"/>
    <mergeCell ref="A140:F140"/>
    <mergeCell ref="A141:F141"/>
    <mergeCell ref="A142:F142"/>
    <mergeCell ref="A143:F143"/>
    <mergeCell ref="A144:F144"/>
    <mergeCell ref="A157:F157"/>
    <mergeCell ref="A146:F146"/>
    <mergeCell ref="A147:F147"/>
    <mergeCell ref="A148:F148"/>
    <mergeCell ref="A149:F149"/>
    <mergeCell ref="A150:F150"/>
    <mergeCell ref="A151:F151"/>
    <mergeCell ref="A164:F164"/>
    <mergeCell ref="A165:F165"/>
    <mergeCell ref="A167:F167"/>
    <mergeCell ref="A1:J1"/>
    <mergeCell ref="B3:J3"/>
    <mergeCell ref="A158:F158"/>
    <mergeCell ref="A159:F159"/>
    <mergeCell ref="A160:F160"/>
    <mergeCell ref="A161:F161"/>
    <mergeCell ref="A162:F162"/>
    <mergeCell ref="A163:F163"/>
    <mergeCell ref="A152:F152"/>
    <mergeCell ref="A153:F153"/>
    <mergeCell ref="A154:F154"/>
    <mergeCell ref="A155:F155"/>
    <mergeCell ref="A156:F156"/>
  </mergeCells>
  <dataValidations count="4">
    <dataValidation type="list" allowBlank="1" sqref="D40:D77 D26:D29 D4:D9" xr:uid="{980A09E8-5DF3-49D8-91BE-F0EF8A88D9C1}">
      <formula1>"AGP,CLH,CLT,COM,CTD,CTI,DES,DISP,ELE,ESG,EST,EXM,EXQ,EXR,FRQ,REV,VAGO"</formula1>
    </dataValidation>
    <dataValidation type="list" allowBlank="1" sqref="B40:B77" xr:uid="{47FC83FF-C7FA-411B-B3E5-F22EE628CEB4}">
      <formula1>"FGS-1,FGS-2,FGS-3,FGA-1,FGA-2,FGA-3"</formula1>
    </dataValidation>
    <dataValidation type="list" allowBlank="1" sqref="B26:B29" xr:uid="{EE3C2AD5-3BF7-433A-B028-DC9AB98E1C0C}">
      <formula1>"FDA,FDA-1,FDA-2,FDA-3,FDA-4"</formula1>
    </dataValidation>
    <dataValidation type="list" allowBlank="1" sqref="B4:B9" xr:uid="{076B7211-86BB-4896-8E30-6EFD1E23EECF}">
      <formula1>"DAS,DAS-1,DAS-2,DAS-3,DAS-4,DAS-5,CAA-1,CAA-2,CAA-3,CAA-4,CAA-5"</formula1>
    </dataValidation>
  </dataValidation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coordcurso</dc:creator>
  <cp:lastModifiedBy>Aline Miranda</cp:lastModifiedBy>
  <cp:lastPrinted>2021-12-15T02:53:38Z</cp:lastPrinted>
  <dcterms:created xsi:type="dcterms:W3CDTF">2019-05-07T11:00:06Z</dcterms:created>
  <dcterms:modified xsi:type="dcterms:W3CDTF">2024-01-17T12:06:43Z</dcterms:modified>
</cp:coreProperties>
</file>