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Servidores e Cargos (Gustavo Lelis)\"/>
    </mc:Choice>
  </mc:AlternateContent>
  <xr:revisionPtr revIDLastSave="0" documentId="13_ncr:1_{CB0E1076-9F47-4CF5-A51F-F7C53C1159D6}" xr6:coauthVersionLast="47" xr6:coauthVersionMax="47" xr10:uidLastSave="{00000000-0000-0000-0000-000000000000}"/>
  <bookViews>
    <workbookView xWindow="-120" yWindow="-120" windowWidth="20730" windowHeight="11160" firstSheet="4" activeTab="11" xr2:uid="{00000000-000D-0000-FFFF-FFFF00000000}"/>
  </bookViews>
  <sheets>
    <sheet name="Jan 2022" sheetId="17" r:id="rId1"/>
    <sheet name="Fev 2022" sheetId="18" r:id="rId2"/>
    <sheet name="Mar 2022" sheetId="19" r:id="rId3"/>
    <sheet name="Abr 2022" sheetId="20" r:id="rId4"/>
    <sheet name="Mai 2022" sheetId="21" r:id="rId5"/>
    <sheet name="Jun 2022" sheetId="22" r:id="rId6"/>
    <sheet name="Jul-2022" sheetId="23" r:id="rId7"/>
    <sheet name="Ago-2022" sheetId="24" r:id="rId8"/>
    <sheet name="Set 2022" sheetId="25" r:id="rId9"/>
    <sheet name="Out 2022" sheetId="26" r:id="rId10"/>
    <sheet name="Nov-2022" sheetId="27" r:id="rId11"/>
    <sheet name="Dez 2022" sheetId="28" r:id="rId12"/>
  </sheets>
  <calcPr calcId="191029"/>
</workbook>
</file>

<file path=xl/calcChain.xml><?xml version="1.0" encoding="utf-8"?>
<calcChain xmlns="http://schemas.openxmlformats.org/spreadsheetml/2006/main">
  <c r="B23" i="28" l="1"/>
  <c r="E15" i="28"/>
  <c r="G11" i="28"/>
  <c r="B7" i="28"/>
  <c r="B23" i="27"/>
  <c r="E15" i="27"/>
  <c r="G11" i="27"/>
  <c r="B7" i="27"/>
  <c r="B23" i="26"/>
  <c r="E15" i="26"/>
  <c r="G11" i="26"/>
  <c r="B7" i="26"/>
  <c r="I82" i="25"/>
  <c r="H82" i="25"/>
  <c r="G82" i="25"/>
  <c r="E82" i="25"/>
  <c r="D82" i="25"/>
  <c r="C82" i="25"/>
  <c r="H81" i="25"/>
  <c r="G81" i="25"/>
  <c r="D81" i="25"/>
  <c r="C81" i="25"/>
  <c r="E81" i="25" s="1"/>
  <c r="H80" i="25"/>
  <c r="G80" i="25"/>
  <c r="D80" i="25"/>
  <c r="C80" i="25"/>
  <c r="E80" i="25" s="1"/>
  <c r="I79" i="25"/>
  <c r="H79" i="25"/>
  <c r="H83" i="25" s="1"/>
  <c r="G79" i="25"/>
  <c r="D79" i="25"/>
  <c r="C79" i="25"/>
  <c r="E79" i="25" s="1"/>
  <c r="I78" i="25"/>
  <c r="H78" i="25"/>
  <c r="G78" i="25"/>
  <c r="E78" i="25"/>
  <c r="D78" i="25"/>
  <c r="C78" i="25"/>
  <c r="H77" i="25"/>
  <c r="G77" i="25"/>
  <c r="G83" i="25" s="1"/>
  <c r="I75" i="25"/>
  <c r="I74" i="25"/>
  <c r="I73" i="25"/>
  <c r="I72" i="25"/>
  <c r="I81" i="25" s="1"/>
  <c r="I71" i="25"/>
  <c r="I70" i="25"/>
  <c r="I69" i="25"/>
  <c r="I68" i="25"/>
  <c r="I67" i="25"/>
  <c r="I80" i="25" s="1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77" i="25" s="1"/>
  <c r="I43" i="25"/>
  <c r="I42" i="25"/>
  <c r="I41" i="25"/>
  <c r="I36" i="25"/>
  <c r="H36" i="25"/>
  <c r="G36" i="25"/>
  <c r="D36" i="25"/>
  <c r="C36" i="25"/>
  <c r="E36" i="25" s="1"/>
  <c r="I35" i="25"/>
  <c r="H35" i="25"/>
  <c r="G35" i="25"/>
  <c r="D35" i="25"/>
  <c r="C35" i="25"/>
  <c r="E35" i="25" s="1"/>
  <c r="I34" i="25"/>
  <c r="H34" i="25"/>
  <c r="G34" i="25"/>
  <c r="D34" i="25"/>
  <c r="E34" i="25" s="1"/>
  <c r="C34" i="25"/>
  <c r="I30" i="25"/>
  <c r="I29" i="25"/>
  <c r="I28" i="25"/>
  <c r="I27" i="25"/>
  <c r="I22" i="25"/>
  <c r="H22" i="25"/>
  <c r="G22" i="25"/>
  <c r="D22" i="25"/>
  <c r="C22" i="25"/>
  <c r="E22" i="25" s="1"/>
  <c r="I21" i="25"/>
  <c r="H21" i="25"/>
  <c r="G21" i="25"/>
  <c r="D21" i="25"/>
  <c r="C21" i="25"/>
  <c r="E21" i="25" s="1"/>
  <c r="I20" i="25"/>
  <c r="H20" i="25"/>
  <c r="G20" i="25"/>
  <c r="D20" i="25"/>
  <c r="E20" i="25" s="1"/>
  <c r="C20" i="25"/>
  <c r="I19" i="25"/>
  <c r="H19" i="25"/>
  <c r="G19" i="25"/>
  <c r="D19" i="25"/>
  <c r="E19" i="25" s="1"/>
  <c r="C19" i="25"/>
  <c r="I18" i="25"/>
  <c r="H18" i="25"/>
  <c r="G18" i="25"/>
  <c r="D18" i="25"/>
  <c r="C18" i="25"/>
  <c r="E18" i="25" s="1"/>
  <c r="I17" i="25"/>
  <c r="H17" i="25"/>
  <c r="G17" i="25"/>
  <c r="D17" i="25"/>
  <c r="C17" i="25"/>
  <c r="E17" i="25" s="1"/>
  <c r="I16" i="25"/>
  <c r="H16" i="25"/>
  <c r="G16" i="25"/>
  <c r="D16" i="25"/>
  <c r="E16" i="25" s="1"/>
  <c r="C16" i="25"/>
  <c r="I15" i="25"/>
  <c r="H15" i="25"/>
  <c r="G15" i="25"/>
  <c r="D15" i="25"/>
  <c r="E15" i="25" s="1"/>
  <c r="C15" i="25"/>
  <c r="I14" i="25"/>
  <c r="H14" i="25"/>
  <c r="G14" i="25"/>
  <c r="D14" i="25"/>
  <c r="C14" i="25"/>
  <c r="E14" i="25" s="1"/>
  <c r="B23" i="24"/>
  <c r="E15" i="24"/>
  <c r="G11" i="24"/>
  <c r="B7" i="24"/>
  <c r="I83" i="25" l="1"/>
  <c r="B23" i="23"/>
  <c r="E15" i="23"/>
  <c r="G11" i="23"/>
  <c r="B7" i="23"/>
  <c r="B23" i="21" l="1"/>
  <c r="E15" i="21"/>
  <c r="G11" i="21"/>
  <c r="B7" i="21"/>
  <c r="B23" i="20" l="1"/>
  <c r="E15" i="20"/>
  <c r="G11" i="20"/>
  <c r="B7" i="20"/>
  <c r="B22" i="19"/>
  <c r="E15" i="19"/>
  <c r="G11" i="19"/>
  <c r="B7" i="19"/>
  <c r="B22" i="18"/>
  <c r="E15" i="18"/>
  <c r="G11" i="18"/>
  <c r="B7" i="18"/>
  <c r="B23" i="17"/>
  <c r="E15" i="17"/>
  <c r="G11" i="17"/>
  <c r="B7" i="17"/>
  <c r="H13" i="25" l="1"/>
  <c r="E32" i="25"/>
  <c r="C32" i="25"/>
  <c r="D32" i="25"/>
  <c r="E37" i="25"/>
  <c r="E33" i="25"/>
  <c r="H86" i="25"/>
  <c r="I23" i="25"/>
  <c r="I12" i="25"/>
  <c r="E12" i="25"/>
  <c r="E23" i="25"/>
  <c r="E86" i="25"/>
  <c r="H32" i="25"/>
  <c r="H37" i="25"/>
  <c r="C86" i="25"/>
  <c r="C12" i="25"/>
  <c r="C23" i="25"/>
  <c r="D83" i="25"/>
  <c r="G12" i="25"/>
  <c r="G23" i="25"/>
  <c r="I86" i="25"/>
  <c r="I37" i="25"/>
  <c r="I32" i="25"/>
  <c r="G13" i="25"/>
  <c r="D37" i="25"/>
  <c r="D86" i="25"/>
  <c r="D12" i="25"/>
  <c r="D23" i="25"/>
  <c r="H12" i="25"/>
  <c r="H23" i="25"/>
  <c r="G86" i="25"/>
  <c r="I13" i="25"/>
  <c r="G32" i="25"/>
  <c r="G37" i="25"/>
  <c r="D33" i="25"/>
  <c r="C33" i="25"/>
  <c r="C37" i="25"/>
  <c r="E83" i="25"/>
  <c r="E77" i="25"/>
  <c r="I33" i="25"/>
  <c r="D13" i="25"/>
  <c r="C13" i="25"/>
  <c r="E13" i="25"/>
  <c r="G33" i="25"/>
  <c r="D77" i="25"/>
  <c r="C77" i="25"/>
  <c r="C83" i="25"/>
  <c r="H33" i="25"/>
</calcChain>
</file>

<file path=xl/sharedStrings.xml><?xml version="1.0" encoding="utf-8"?>
<sst xmlns="http://schemas.openxmlformats.org/spreadsheetml/2006/main" count="1287" uniqueCount="405">
  <si>
    <t xml:space="preserve">AGÊNCIA DE DEFESA E FISCALIZAÇÃO AGROPECUÁRIA DO ESTADO DE PERNAMBUCO - ADAGRO </t>
  </si>
  <si>
    <t>CARGOS</t>
  </si>
  <si>
    <t>Auxiliar de Defesa Agropecuária</t>
  </si>
  <si>
    <t xml:space="preserve">Analistas de Defesa Agropecuário </t>
  </si>
  <si>
    <t>VAGAS</t>
  </si>
  <si>
    <t>OCUPADOS</t>
  </si>
  <si>
    <t>QUANTITATIVO</t>
  </si>
  <si>
    <t xml:space="preserve"> QUANTITATIVO DE CARGOS EFETIVOS DO QUADRO DE PESSOAL DA ADAGRO, COM BASE NAS LC Nº 197 DE 21/12/2011 C/C 242 DE 08/10/2013 REGULAMENTADAS PELOS DEC. Nº 39.695 DE 09/08/2013 C/C 46.251 DE 12/07/2018;</t>
  </si>
  <si>
    <t>E DE CONTRATOS TEMPORÁRIOS, CONFORME DECRETO Nº 44.947 DE 04/09/2017.</t>
  </si>
  <si>
    <t>GUSTAVO LELIS</t>
  </si>
  <si>
    <t xml:space="preserve">Técnico Agrícola C T D </t>
  </si>
  <si>
    <t>Fiscal Estadual Agropecuário – (Animal e Vegetal) (*)</t>
  </si>
  <si>
    <t>Assistente de Defesa Agropecuária (*)</t>
  </si>
  <si>
    <t>(*) Houve aumento por causa do concurso público.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</si>
  <si>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</si>
  <si>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</t>
  </si>
  <si>
    <t>QTD.</t>
  </si>
  <si>
    <t>EST</t>
  </si>
  <si>
    <t>COM</t>
  </si>
  <si>
    <t>CTD</t>
  </si>
  <si>
    <t>EXQ</t>
  </si>
  <si>
    <t>TOTAL</t>
  </si>
  <si>
    <t>QUANTITATIVO DOS SERVIDORES ESTATUTÁRIOS</t>
  </si>
  <si>
    <t>SEM CARGO COMISSIONADO E FUNÇÃO GRATIFICADA</t>
  </si>
  <si>
    <t>COM CARGO COMISSIONADO</t>
  </si>
  <si>
    <t xml:space="preserve">COM FUNÇÃO GRATIFICADA </t>
  </si>
  <si>
    <t xml:space="preserve">CEDIDOS </t>
  </si>
  <si>
    <t>EM LICENÇA SEM VENCIMENTO</t>
  </si>
  <si>
    <t>EM SUBSTITUIÇÃO CARGO / FUNÇÃO</t>
  </si>
  <si>
    <t>QUANTITATIVO DOS SERVIDORES EXTRA QUADRO</t>
  </si>
  <si>
    <t>COM FUNÇÃO GRATIFICADA</t>
  </si>
  <si>
    <t>AGENTE POLÍTICO</t>
  </si>
  <si>
    <t>SITUAÇÃO DOS SERVIDORES ESTATUTÁRIOS CEDIDOS</t>
  </si>
  <si>
    <t>SERVIDOR CEDIDO</t>
  </si>
  <si>
    <t>PODER / ESFERA</t>
  </si>
  <si>
    <t>LOTAÇÃO</t>
  </si>
  <si>
    <t>DATA DA CESSÃO</t>
  </si>
  <si>
    <t>CARGO OCUPADO</t>
  </si>
  <si>
    <t>SÍMBOLO</t>
  </si>
  <si>
    <t>REJANE RAMOS GONÇALVES</t>
  </si>
  <si>
    <t>EXECUTIVO ESTADUAL</t>
  </si>
  <si>
    <t>IPA</t>
  </si>
  <si>
    <t>JOÃO RAMOS DA SILVA</t>
  </si>
  <si>
    <t>EDMUNDO AUGUSTO CELSO MIRANDA</t>
  </si>
  <si>
    <t>S D A</t>
  </si>
  <si>
    <t>LENILDA TAVARES DE LIMA</t>
  </si>
  <si>
    <t>TOTAL DOS CEDIDOS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</si>
  <si>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</si>
  <si>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</si>
  <si>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</si>
  <si>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</si>
  <si>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</si>
  <si>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</si>
  <si>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</si>
  <si>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</si>
  <si>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</si>
  <si>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</si>
  <si>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</si>
  <si>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</si>
  <si>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</si>
  <si>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</si>
  <si>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</si>
  <si>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</si>
  <si>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</si>
  <si>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</si>
  <si>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</si>
  <si>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</si>
  <si>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</si>
  <si>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</si>
  <si>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</si>
  <si>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</si>
  <si>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</si>
  <si>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FGS-2</t>
  </si>
  <si>
    <t>FUNC.GRAT.SUP-2</t>
  </si>
  <si>
    <t>03</t>
  </si>
  <si>
    <t>63</t>
  </si>
  <si>
    <t>14</t>
  </si>
  <si>
    <r>
      <t>CADASTRO-RH-DGAF,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17</t>
    </r>
    <r>
      <rPr>
        <b/>
        <sz val="11"/>
        <color theme="1"/>
        <rFont val="Calibri"/>
        <family val="2"/>
        <scheme val="minor"/>
      </rPr>
      <t>/01/2022</t>
    </r>
    <r>
      <rPr>
        <sz val="11"/>
        <color theme="1"/>
        <rFont val="Calibri"/>
        <family val="2"/>
        <scheme val="minor"/>
      </rPr>
      <t>.</t>
    </r>
  </si>
  <si>
    <t>CONFORME QUADRO EXPLICATIVO ABAICO.</t>
  </si>
  <si>
    <t>69</t>
  </si>
  <si>
    <t>EST= FISCAL (ANIMAL + VEGETAL) = 164 + ANALISTA = 03 + ASSISTENTE = 69 + AUXILIAR = 63 - TOTAL 299</t>
  </si>
  <si>
    <t>Atualizado até 31/01/2022.</t>
  </si>
  <si>
    <t>EST= FISCAL (ANIMAL + VEGETAL) = 166 + ANALISTA = 03 + ASSISTENTE = 69 + AUXILIAR = 63 - TOTAL 301</t>
  </si>
  <si>
    <t>CONFORME QUADRO EXPLICATIVO ABAIXO.</t>
  </si>
  <si>
    <r>
      <t>CADASTRO-RH-DGAF,</t>
    </r>
    <r>
      <rPr>
        <b/>
        <sz val="11"/>
        <color theme="1"/>
        <rFont val="Calibri"/>
        <family val="2"/>
        <scheme val="minor"/>
      </rPr>
      <t xml:space="preserve"> 09/03/2022</t>
    </r>
    <r>
      <rPr>
        <sz val="11"/>
        <color theme="1"/>
        <rFont val="Calibri"/>
        <family val="2"/>
        <scheme val="minor"/>
      </rPr>
      <t>.</t>
    </r>
  </si>
  <si>
    <t>Atualizado até /02/2022.</t>
  </si>
  <si>
    <t>Atualizado até 31/03/2022.</t>
  </si>
  <si>
    <r>
      <t>CADASTRO-RH-DGAF,</t>
    </r>
    <r>
      <rPr>
        <b/>
        <sz val="11"/>
        <color theme="1"/>
        <rFont val="Calibri"/>
        <family val="2"/>
        <scheme val="minor"/>
      </rPr>
      <t xml:space="preserve"> 12/04/2022</t>
    </r>
    <r>
      <rPr>
        <sz val="11"/>
        <color theme="1"/>
        <rFont val="Calibri"/>
        <family val="2"/>
        <scheme val="minor"/>
      </rPr>
      <t>.</t>
    </r>
  </si>
  <si>
    <t>EST= FISCAL (ANIMAL + VEGETAL) = 168 + ANALISTA = 03 + ASSISTENTE = 69 + AUXILIAR = 63 - TOTAL 303</t>
  </si>
  <si>
    <t>Atualizado até 30/04/2022.</t>
  </si>
  <si>
    <r>
      <t>CADASTRO-RH-DGAF,</t>
    </r>
    <r>
      <rPr>
        <b/>
        <sz val="11"/>
        <color theme="1"/>
        <rFont val="Calibri"/>
        <family val="2"/>
        <scheme val="minor"/>
      </rPr>
      <t xml:space="preserve"> 11/05/2022</t>
    </r>
    <r>
      <rPr>
        <sz val="11"/>
        <color theme="1"/>
        <rFont val="Calibri"/>
        <family val="2"/>
        <scheme val="minor"/>
      </rPr>
      <t>.</t>
    </r>
  </si>
  <si>
    <t>PREFEITURA DO RECIFE</t>
  </si>
  <si>
    <t xml:space="preserve">MARÍLIA DO SOCORRO GODOY  </t>
  </si>
  <si>
    <t>OUTRA ESFERA</t>
  </si>
  <si>
    <t>EXQ (86 Poder Executivo + 18 Outra Esfera)</t>
  </si>
  <si>
    <t>EST= FISCAL (ANIMAL + VEGETAL) = 166 + ANALISTA = 03 + ASSISTENTE = 66 + AUXILIAR = 63 - TOTAL 298</t>
  </si>
  <si>
    <t>66</t>
  </si>
  <si>
    <t>Atualizado até 31/05/2022.</t>
  </si>
  <si>
    <r>
      <t>CADASTRO-RH-DGAF,</t>
    </r>
    <r>
      <rPr>
        <b/>
        <sz val="11"/>
        <color theme="1"/>
        <rFont val="Calibri"/>
        <family val="2"/>
        <scheme val="minor"/>
      </rPr>
      <t xml:space="preserve"> 16/05/2022</t>
    </r>
    <r>
      <rPr>
        <sz val="11"/>
        <color theme="1"/>
        <rFont val="Calibri"/>
        <family val="2"/>
        <scheme val="minor"/>
      </rPr>
      <t>.</t>
    </r>
  </si>
  <si>
    <t>RELATÓRIO DE SERVIDORES DA ADAGRO À DISPOSIÇÃO DE OUTROS ÓRGÃOS COM ÔNUS PARA O ÓRGÃO DE ORIGEM</t>
  </si>
  <si>
    <t>NOME COMPLETO</t>
  </si>
  <si>
    <t>MATR.</t>
  </si>
  <si>
    <t>CESSIONÁRIO</t>
  </si>
  <si>
    <t>CPF</t>
  </si>
  <si>
    <t>CARGO DE ORIGEM</t>
  </si>
  <si>
    <t>INICIO DA CESSÃO</t>
  </si>
  <si>
    <t>PORT/ATO</t>
  </si>
  <si>
    <t>DATA/PORT</t>
  </si>
  <si>
    <t>138.412-0</t>
  </si>
  <si>
    <t>I P A</t>
  </si>
  <si>
    <t>153.090.294-00</t>
  </si>
  <si>
    <t>FISCAL EST.AGROPECUÁRIO</t>
  </si>
  <si>
    <t>SAD Nº 1.758</t>
  </si>
  <si>
    <t xml:space="preserve">LENILDA TAVARES DE LIMA </t>
  </si>
  <si>
    <t>104.332-3</t>
  </si>
  <si>
    <t>326.165.034-68</t>
  </si>
  <si>
    <t>AUX. DEFESA AGROPECUÁRIA</t>
  </si>
  <si>
    <t>01/04/2019</t>
  </si>
  <si>
    <t>SAD Nº 1134</t>
  </si>
  <si>
    <t>17/05/2018</t>
  </si>
  <si>
    <r>
      <t>MARÍLIA DO SOCORRO GODOY  (</t>
    </r>
    <r>
      <rPr>
        <sz val="8"/>
        <color rgb="FFFF0000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) </t>
    </r>
  </si>
  <si>
    <t>120.590-0</t>
  </si>
  <si>
    <t>418.401.354-68</t>
  </si>
  <si>
    <t>SAD Nº 1214</t>
  </si>
  <si>
    <t>13/06/2019</t>
  </si>
  <si>
    <t>147.305-0</t>
  </si>
  <si>
    <t>I  P A</t>
  </si>
  <si>
    <t>473.714.124-00  </t>
  </si>
  <si>
    <t>09/04/2015</t>
  </si>
  <si>
    <t>SAD Nº 1.253</t>
  </si>
  <si>
    <t>TOTAL DE SERVIDORES</t>
  </si>
  <si>
    <t>004</t>
  </si>
  <si>
    <r>
      <t>(</t>
    </r>
    <r>
      <rPr>
        <sz val="7"/>
        <color rgb="FFFF0000"/>
        <rFont val="Calibri"/>
        <family val="2"/>
        <scheme val="minor"/>
      </rPr>
      <t>*</t>
    </r>
    <r>
      <rPr>
        <sz val="7"/>
        <rFont val="Calibri"/>
        <family val="2"/>
        <scheme val="minor"/>
      </rPr>
      <t>)</t>
    </r>
    <r>
      <rPr>
        <b/>
        <sz val="7"/>
        <color rgb="FFFF0000"/>
        <rFont val="Calibri"/>
        <family val="2"/>
        <scheme val="minor"/>
      </rPr>
      <t xml:space="preserve"> Cessão Mediante Ressarcimento</t>
    </r>
    <r>
      <rPr>
        <sz val="7"/>
        <rFont val="Calibri"/>
        <family val="2"/>
        <scheme val="minor"/>
      </rPr>
      <t>.</t>
    </r>
  </si>
  <si>
    <r>
      <t>Comp. Ref.</t>
    </r>
    <r>
      <rPr>
        <b/>
        <sz val="10"/>
        <color theme="1"/>
        <rFont val="Calibri"/>
        <family val="2"/>
        <scheme val="minor"/>
      </rPr>
      <t xml:space="preserve"> JUNHO/2022.</t>
    </r>
  </si>
  <si>
    <t>CADASTRO-RH-DGAF, 13/07/2022</t>
  </si>
  <si>
    <t>EST= FISCAL (ANIMAL + VEGETAL) = 166 + ANALISTA = 03 + ASSISTENTE = 67 + AUXILIAR = 63 - TOTAL 299</t>
  </si>
  <si>
    <t>EXQ (86 Poder Executivo + 16 Outra Esfera)</t>
  </si>
  <si>
    <t xml:space="preserve">Fiscal Estadual Agropecuário – (Animal e Vegetal) </t>
  </si>
  <si>
    <t xml:space="preserve">Assistente de Defesa Agropecuária </t>
  </si>
  <si>
    <t>67</t>
  </si>
  <si>
    <t>Atualizado até 31/07/2022.</t>
  </si>
  <si>
    <r>
      <t>CADASTRO-RH-DGAF,</t>
    </r>
    <r>
      <rPr>
        <b/>
        <sz val="11"/>
        <color theme="1"/>
        <rFont val="Calibri"/>
        <family val="2"/>
        <scheme val="minor"/>
      </rPr>
      <t xml:space="preserve"> 11/08/2022</t>
    </r>
    <r>
      <rPr>
        <sz val="11"/>
        <color theme="1"/>
        <rFont val="Calibri"/>
        <family val="2"/>
        <scheme val="minor"/>
      </rPr>
      <t>.</t>
    </r>
  </si>
  <si>
    <t>EST= FISCAL (ANIMAL + VEGETAL) = 162 + ANALISTA = 03 + ASSISTENTE = 67 + AUXILIAR = 63 - TOTAL 295</t>
  </si>
  <si>
    <t>EXQ (78 Poder Executivo + 16 Outra Esfera)</t>
  </si>
  <si>
    <t>Atualizado até 31/08/2022.</t>
  </si>
  <si>
    <r>
      <t>CADASTRO-RH-DGAF,</t>
    </r>
    <r>
      <rPr>
        <b/>
        <sz val="11"/>
        <color theme="1"/>
        <rFont val="Calibri"/>
        <family val="2"/>
        <scheme val="minor"/>
      </rPr>
      <t xml:space="preserve"> 12/09/2022</t>
    </r>
    <r>
      <rPr>
        <sz val="11"/>
        <color theme="1"/>
        <rFont val="Calibri"/>
        <family val="2"/>
        <scheme val="minor"/>
      </rPr>
      <t>.</t>
    </r>
  </si>
  <si>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</si>
  <si>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</si>
  <si>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</si>
  <si>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</si>
  <si>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</si>
  <si>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</si>
  <si>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</si>
  <si>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</si>
  <si>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</si>
  <si>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</si>
  <si>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DIRETOR PRESIDENTE</t>
  </si>
  <si>
    <t>DAS-1</t>
  </si>
  <si>
    <t>PRESIDÊNCIA</t>
  </si>
  <si>
    <t>PAULO ROBERTO DE ANDRADE LIMA</t>
  </si>
  <si>
    <t>DIRETOR DE GESTÃO ADMINISTRATIVA E FINANCEIRA</t>
  </si>
  <si>
    <t>DAS-5</t>
  </si>
  <si>
    <t>DGAF</t>
  </si>
  <si>
    <t>ELDEMBERGA GRANGEIRO DOS ANJOS</t>
  </si>
  <si>
    <t>COORDENADOR DE TECNOLOGIA DA INFORMAÇÃO</t>
  </si>
  <si>
    <t>CAA-3</t>
  </si>
  <si>
    <t>NUINF</t>
  </si>
  <si>
    <t>MARCOS ALEXANDRE BARBOSA DELGADO</t>
  </si>
  <si>
    <t>AUXILIAR TÉCNICO</t>
  </si>
  <si>
    <t>CAA-4</t>
  </si>
  <si>
    <t>LICITAÇÃO</t>
  </si>
  <si>
    <t>ARIMAR MICHELINE DA SILVA LIMA</t>
  </si>
  <si>
    <t>ASSESSOR DE PLANEJAMENTO</t>
  </si>
  <si>
    <t>CAA-2</t>
  </si>
  <si>
    <t>DPEC</t>
  </si>
  <si>
    <t>LUCIANA DA CRUZ GOUVEIA FIGUEIREDO</t>
  </si>
  <si>
    <t>ASSESSOR DE COMUNICAÇÃO</t>
  </si>
  <si>
    <t>COMUNICAÇÃO</t>
  </si>
  <si>
    <t>MARIA CECÍLIA GOMES ALVES DE ARAÚJO</t>
  </si>
  <si>
    <t>ASSESSOR TÉCNICO DE APOIO A PROCURADORIA GERAL DO ESTADO</t>
  </si>
  <si>
    <t>ASTPGE</t>
  </si>
  <si>
    <t>JOSÉ AYRON DA SILVA PINTO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</si>
  <si>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</si>
  <si>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</si>
  <si>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</si>
  <si>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</si>
  <si>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</si>
  <si>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</si>
  <si>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</si>
  <si>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</si>
  <si>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Cargo Comissionado de Direção e Assessoramento</t>
  </si>
  <si>
    <t>DAS</t>
  </si>
  <si>
    <t>Cargo Comissionado de Direção e Assessoramento - 1</t>
  </si>
  <si>
    <t>Cargo Comissionado de Direção e Assessoramento - 2</t>
  </si>
  <si>
    <t>DAS-2</t>
  </si>
  <si>
    <t>Cargo Comissionado de Direção e Assessoramento - 3</t>
  </si>
  <si>
    <t>DAS-3</t>
  </si>
  <si>
    <t>Cargo Comissionado de Direção e Assessoramento - 4</t>
  </si>
  <si>
    <t>DAS-4</t>
  </si>
  <si>
    <t>Cargo Comissionado de Direção e Assessoramento - 5</t>
  </si>
  <si>
    <t>Cargo de Assessoramento - 1</t>
  </si>
  <si>
    <t>CAA-1</t>
  </si>
  <si>
    <t>Cargo de Assessoramento - 2</t>
  </si>
  <si>
    <t>Cargo de Assessoramento - 3</t>
  </si>
  <si>
    <t>Cargo de Assessoramento - 4</t>
  </si>
  <si>
    <t>Cargo de Assessoramento - 5</t>
  </si>
  <si>
    <t>CAA-5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</si>
  <si>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</si>
  <si>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</si>
  <si>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</si>
  <si>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</si>
  <si>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</si>
  <si>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</si>
  <si>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</si>
  <si>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</si>
  <si>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</si>
  <si>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</si>
  <si>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</si>
  <si>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COORDENADOR ESTADUAL DE PRODUTOS DE ORIGEM ANIMAL E VEGETAL</t>
  </si>
  <si>
    <t>FDA-4</t>
  </si>
  <si>
    <t>ANTONIO TELES NETO</t>
  </si>
  <si>
    <t>DIRETOR DE DEFESA DE INSPEÇÃO VEGETAL</t>
  </si>
  <si>
    <t>FDA-3</t>
  </si>
  <si>
    <t>DDIV</t>
  </si>
  <si>
    <t>RAQUEL MELO DE MIRANDA</t>
  </si>
  <si>
    <t>DIRETOR DE DEFESA DE INSPEÇÃO ANIMAL</t>
  </si>
  <si>
    <t>DDIA</t>
  </si>
  <si>
    <t>FERNANDO GOES DE MIRANDA</t>
  </si>
  <si>
    <t>DIRETOR DE PLANEJAMENTO ESTRATÉGICO E CONVÊNIOS</t>
  </si>
  <si>
    <t>KÉSIA ALCÂNTARA QUEIROZ PONTUAL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</si>
  <si>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</si>
  <si>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</si>
  <si>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</si>
  <si>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</si>
  <si>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</si>
  <si>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</si>
  <si>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</si>
  <si>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</si>
  <si>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</si>
  <si>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FDA</t>
  </si>
  <si>
    <t>Função Gratificada de Direção e Assessoramento - 1</t>
  </si>
  <si>
    <t>FDA-1</t>
  </si>
  <si>
    <t>Função Gratificada de Direção e Assessoramento - 2</t>
  </si>
  <si>
    <t>FDA-2</t>
  </si>
  <si>
    <t>Função Gratificada de Direção e Assessoramento - 3</t>
  </si>
  <si>
    <t>Função Gratificada de Direção e Assessoramento - 4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</si>
  <si>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</si>
  <si>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</si>
  <si>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</si>
  <si>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</si>
  <si>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</si>
  <si>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</si>
  <si>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</si>
  <si>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</si>
  <si>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</si>
  <si>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</si>
  <si>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</si>
  <si>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FGS-1</t>
  </si>
  <si>
    <t>FRANCISCO ELÍSIO VALGUEIRO MALTA FEITOSA</t>
  </si>
  <si>
    <t>MARCOS ANTÔNIO DUARTE</t>
  </si>
  <si>
    <t>MARIA DO CARMO FREITAS DE SÁ NUNES</t>
  </si>
  <si>
    <t>LUIZ CARLOS DE ARAÚJO</t>
  </si>
  <si>
    <t>PAULO ROBERTO PEREIRA FRANÇA</t>
  </si>
  <si>
    <t>BENITO GUSTAVO CARACIOLO</t>
  </si>
  <si>
    <t>JOÃO CARLOS ALVES DE SIQUEIRA</t>
  </si>
  <si>
    <t>MARCOS ANTÔNIO SIMAS PEIXOTO</t>
  </si>
  <si>
    <t>DERCIVAL FREIRE DE MENEZES</t>
  </si>
  <si>
    <t>JOSÉ AURÉLIO COSTA GALINDO</t>
  </si>
  <si>
    <t>FRANCISCO DE ASSIS HONÓRIO REMÍGIO</t>
  </si>
  <si>
    <t>MARIA DO SOCORRO DOS SANTOS</t>
  </si>
  <si>
    <t>ELDO CAVALCANTI NOVAES</t>
  </si>
  <si>
    <t>MANOEL EUGÊNIO DA MOTA SILVEIRA FILHO</t>
  </si>
  <si>
    <t>GLENDA MÔNIDA LUNA DE HOLANDA</t>
  </si>
  <si>
    <t>RAQUEL REJANE RODRIGUES DE ARAÚJO</t>
  </si>
  <si>
    <t>SAMY BIANCHINI</t>
  </si>
  <si>
    <t>JURANDIR BARBOSA CALVANTI JÚNIOR</t>
  </si>
  <si>
    <r>
      <t>ISMA CARLOS DE MIRANDA SANTOS ALVES (EXQ-</t>
    </r>
    <r>
      <rPr>
        <b/>
        <sz val="11"/>
        <color theme="1"/>
        <rFont val="Arial"/>
        <family val="2"/>
      </rPr>
      <t>IRH</t>
    </r>
    <r>
      <rPr>
        <sz val="11"/>
        <color theme="1"/>
        <rFont val="Arial"/>
        <family val="2"/>
      </rPr>
      <t>)</t>
    </r>
  </si>
  <si>
    <r>
      <t>LÚCIA DE FÁTIMA DE SOUZA SIMÕES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</si>
  <si>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t>REJANE MARIA SOBRAL</t>
  </si>
  <si>
    <t>MARCELLA LUIZ DE FIGUEIREDO BARBOSA</t>
  </si>
  <si>
    <t>FLÁVIO DE OLIVEIRA SILVA</t>
  </si>
  <si>
    <t>FGA-1</t>
  </si>
  <si>
    <t>GUSTAVO ADOLFO LELIS CABRAL</t>
  </si>
  <si>
    <t>MARIA DO SOCORRO BANDEIRA</t>
  </si>
  <si>
    <r>
      <t>JURANDIR DUTRA DA SILVA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</si>
  <si>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SEVERINO RAMOS DE LIMA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</si>
  <si>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t>FILIPE DE MOURA E. REIS DE MELO</t>
  </si>
  <si>
    <t>FGA-2</t>
  </si>
  <si>
    <t>ROSÁRIO DE FÁTIMA SOUZA DE BARROS CORREIA</t>
  </si>
  <si>
    <r>
      <t>IRACY LEÃO CASTANHA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</si>
  <si>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CRISTIANNE DE SOUZA PIRES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</si>
  <si>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JOSÉ ALEXANDRE CAVALCANTE DE ANDRADE (EXQ-</t>
    </r>
    <r>
      <rPr>
        <b/>
        <sz val="11"/>
        <color theme="1"/>
        <rFont val="Arial"/>
        <family val="2"/>
      </rPr>
      <t>DER</t>
    </r>
    <r>
      <rPr>
        <sz val="11"/>
        <color theme="1"/>
        <rFont val="Arial"/>
        <family val="2"/>
      </rPr>
      <t>)</t>
    </r>
  </si>
  <si>
    <r>
      <t>GILVAN NATANAEL DE SOUZA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 (**)</t>
    </r>
  </si>
  <si>
    <r>
      <t>JOÃO VILÂNDIO PEIXOTO BEM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</si>
  <si>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MARIA DE FÁTIMA BARBOSA DA SILVA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 (***)</t>
    </r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</si>
  <si>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</si>
  <si>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</si>
  <si>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</si>
  <si>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</si>
  <si>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</si>
  <si>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</si>
  <si>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</si>
  <si>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</si>
  <si>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</si>
  <si>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Função Gratificada de Supervisão -2</t>
  </si>
  <si>
    <t xml:space="preserve">FGS-2 </t>
  </si>
  <si>
    <t>Função Gratificada de Supervisão -3</t>
  </si>
  <si>
    <t>FGS-3</t>
  </si>
  <si>
    <t xml:space="preserve">Função Gratificada de Apoio -1 </t>
  </si>
  <si>
    <t xml:space="preserve">FGA-1 </t>
  </si>
  <si>
    <t>Função Gratificada de Apoio 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</si>
  <si>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</si>
  <si>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</si>
  <si>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</si>
  <si>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</si>
  <si>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</si>
  <si>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</si>
  <si>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</si>
  <si>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</si>
  <si>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</si>
  <si>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</si>
  <si>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</si>
  <si>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</si>
  <si>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Lei nº 16.520, de 27 de dezembro de 2018 (Lei que dispõe sobre a estrutura e o funcionamento do Poder Executivo vigente à epoca da divulgação)</t>
  </si>
  <si>
    <t>Enumerar Decreto(s) de Alocação de Cargos Comissionados e Funções Gratificadas do órgão ou entidade ou normativo equivalente vigentes à epoca da divulgação</t>
  </si>
  <si>
    <t>Decreto que aprova o Regulamento do órgão ou entidade ou normativo equivalente vigente à epoca da divulgação</t>
  </si>
  <si>
    <t>Decreto que aprova o Manual de Serviços do órgão ou entidade ou normativo equivalente vigente à epoca da divulgação</t>
  </si>
  <si>
    <r>
      <t xml:space="preserve">Lei Complemenar </t>
    </r>
    <r>
      <rPr>
        <b/>
        <sz val="8"/>
        <color theme="1"/>
        <rFont val="Arial"/>
        <family val="2"/>
      </rPr>
      <t xml:space="preserve">480 </t>
    </r>
    <r>
      <rPr>
        <sz val="8"/>
        <color theme="1"/>
        <rFont val="Arial"/>
        <family val="2"/>
      </rPr>
      <t>de</t>
    </r>
    <r>
      <rPr>
        <b/>
        <sz val="8"/>
        <color theme="1"/>
        <rFont val="Arial"/>
        <family val="2"/>
      </rPr>
      <t xml:space="preserve"> 30 de março de 2022</t>
    </r>
    <r>
      <rPr>
        <sz val="8"/>
        <color theme="1"/>
        <rFont val="Arial"/>
        <family val="2"/>
      </rPr>
      <t xml:space="preserve"> que dispõe sobre medidas de valorização profissional dos servidores públicos do Poder Executivo Estadual, a partir de </t>
    </r>
    <r>
      <rPr>
        <b/>
        <u/>
        <sz val="8"/>
        <color theme="1"/>
        <rFont val="Arial"/>
        <family val="2"/>
      </rPr>
      <t>01/06/2022</t>
    </r>
    <r>
      <rPr>
        <sz val="8"/>
        <color theme="1"/>
        <rFont val="Arial"/>
        <family val="2"/>
      </rPr>
      <t xml:space="preserve">.
 </t>
    </r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</si>
  <si>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</si>
  <si>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</si>
  <si>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</si>
  <si>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</si>
  <si>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</si>
  <si>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</si>
  <si>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</si>
  <si>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</si>
  <si>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</si>
  <si>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</si>
  <si>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</si>
  <si>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</si>
  <si>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</si>
  <si>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</si>
  <si>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</si>
  <si>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</si>
  <si>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</si>
  <si>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</si>
  <si>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</si>
  <si>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</si>
  <si>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</si>
  <si>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</si>
  <si>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</si>
  <si>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</si>
  <si>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</si>
  <si>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</si>
  <si>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</si>
  <si>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</si>
  <si>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</si>
  <si>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</si>
  <si>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</si>
  <si>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</si>
  <si>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</si>
  <si>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</si>
  <si>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</si>
  <si>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</si>
  <si>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</si>
  <si>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</si>
  <si>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</si>
  <si>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</si>
  <si>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</si>
  <si>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</si>
  <si>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</si>
  <si>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</si>
  <si>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</si>
  <si>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</si>
  <si>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</si>
  <si>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</si>
  <si>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</si>
  <si>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</si>
  <si>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</si>
  <si>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</si>
  <si>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</si>
  <si>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</si>
  <si>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</si>
  <si>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</si>
  <si>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</si>
  <si>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</si>
  <si>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</si>
  <si>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</si>
  <si>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</si>
  <si>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t>EST= FISCAL (ANIMAL + VEGETAL) = 164 + ANALISTA = 03 + ASSISTENTE = 70 + AUXILIAR = 62 - TOTAL 299</t>
  </si>
  <si>
    <t>EXQ (74 Poder Executivo + 16 Outra Esfera)</t>
  </si>
  <si>
    <t>70</t>
  </si>
  <si>
    <t>62</t>
  </si>
  <si>
    <t>Atualizado até 31/10/2022.</t>
  </si>
  <si>
    <r>
      <t>CADASTRO-RH-DGAF,</t>
    </r>
    <r>
      <rPr>
        <b/>
        <sz val="11"/>
        <color theme="1"/>
        <rFont val="Calibri"/>
        <family val="2"/>
        <scheme val="minor"/>
      </rPr>
      <t xml:space="preserve"> 07/11/2022</t>
    </r>
    <r>
      <rPr>
        <sz val="11"/>
        <color theme="1"/>
        <rFont val="Calibri"/>
        <family val="2"/>
        <scheme val="minor"/>
      </rPr>
      <t>.</t>
    </r>
  </si>
  <si>
    <t>FUNC.GRAT.SUP-1</t>
  </si>
  <si>
    <t>FGS-1 (*)</t>
  </si>
  <si>
    <t>Atualizado até 30/11/2022.</t>
  </si>
  <si>
    <r>
      <t>CADASTRO-RH-DGAF,</t>
    </r>
    <r>
      <rPr>
        <b/>
        <sz val="11"/>
        <color theme="1"/>
        <rFont val="Calibri"/>
        <family val="2"/>
        <scheme val="minor"/>
      </rPr>
      <t xml:space="preserve"> 16/12/2022</t>
    </r>
    <r>
      <rPr>
        <sz val="11"/>
        <color theme="1"/>
        <rFont val="Calibri"/>
        <family val="2"/>
        <scheme val="minor"/>
      </rPr>
      <t>.</t>
    </r>
  </si>
  <si>
    <t>(*) SE ENCONTRA NESSA FUNÇÃO GRATIFICADA DE UNIDADE DESDE JUNHO/2022.</t>
  </si>
  <si>
    <t>EXQ (73 Poder Executivo + 16 Outra Esfera)</t>
  </si>
  <si>
    <t>Atualizado até 31/12/2022.</t>
  </si>
  <si>
    <t>CADASTRO-RH-DGAF, 17/01/2023</t>
  </si>
  <si>
    <t xml:space="preserve">GUSTAVO ADOLFO LELIS CABRAL </t>
  </si>
  <si>
    <r>
      <t xml:space="preserve">(*) SE ENCONTRA NESSA FUNÇÃO GRATIFICADA DE UNIDADE DESDE JUNHO/2022 E PERMANECEU ATÉ 31/12/2022, POR FORÇA DO ARTIGO </t>
    </r>
    <r>
      <rPr>
        <b/>
        <sz val="8"/>
        <color theme="1"/>
        <rFont val="Calibri"/>
        <family val="2"/>
        <scheme val="minor"/>
      </rPr>
      <t>1º</t>
    </r>
    <r>
      <rPr>
        <sz val="8"/>
        <color theme="1"/>
        <rFont val="Calibri"/>
        <family val="2"/>
        <scheme val="minor"/>
      </rPr>
      <t xml:space="preserve"> DO DECRETO nº </t>
    </r>
    <r>
      <rPr>
        <b/>
        <sz val="8"/>
        <color theme="1"/>
        <rFont val="Calibri"/>
        <family val="2"/>
        <scheme val="minor"/>
      </rPr>
      <t>54.393/2023</t>
    </r>
    <r>
      <rPr>
        <sz val="8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</si>
</sst>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.0000\-"/>
    <numFmt numFmtId="165" formatCode="mm/dd/yyyy"/>
    <numFmt numFmtId="166" formatCode="[$R$ -416]#,##0.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rgb="FF333333"/>
      <name val="Arial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b/>
      <sz val="7.5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u/>
      <sz val="8"/>
      <color theme="1"/>
      <name val="Arial"/>
      <family val="2"/>
    </font>
    <font>
      <strike/>
      <sz val="11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8" fillId="0" borderId="0"/>
    <xf numFmtId="0" fontId="20" fillId="0" borderId="0"/>
    <xf numFmtId="0" fontId="14" fillId="0" borderId="0"/>
  </cellStyleXfs>
  <cellXfs count="168">
    <xf numFmtId="0" fontId="0" fillId="0" borderId="0" xfId="0"/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0" borderId="0" xfId="0" applyFont="1"/>
    <xf numFmtId="0" fontId="4" fillId="2" borderId="0" xfId="0" applyFont="1" applyFill="1" applyAlignment="1">
      <alignment vertical="top" wrapText="1"/>
    </xf>
    <xf numFmtId="14" fontId="11" fillId="6" borderId="0" xfId="1" applyNumberFormat="1" applyFont="1" applyFill="1" applyAlignment="1">
      <alignment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14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7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0" fillId="8" borderId="0" xfId="1" applyFont="1" applyFill="1" applyAlignment="1">
      <alignment vertical="center" wrapText="1"/>
    </xf>
    <xf numFmtId="164" fontId="10" fillId="0" borderId="0" xfId="1" applyNumberFormat="1" applyFont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164" fontId="12" fillId="5" borderId="14" xfId="1" applyNumberFormat="1" applyFont="1" applyFill="1" applyBorder="1" applyAlignment="1">
      <alignment horizontal="center" vertical="center" wrapText="1"/>
    </xf>
    <xf numFmtId="0" fontId="16" fillId="0" borderId="14" xfId="1" applyFont="1" applyBorder="1" applyAlignment="1">
      <alignment vertical="center" wrapText="1"/>
    </xf>
    <xf numFmtId="0" fontId="17" fillId="8" borderId="14" xfId="1" applyFont="1" applyFill="1" applyBorder="1" applyAlignment="1">
      <alignment horizontal="center" vertical="center" wrapText="1"/>
    </xf>
    <xf numFmtId="0" fontId="18" fillId="8" borderId="14" xfId="1" applyFont="1" applyFill="1" applyBorder="1" applyAlignment="1">
      <alignment horizontal="center" vertical="center" wrapText="1"/>
    </xf>
    <xf numFmtId="14" fontId="10" fillId="0" borderId="14" xfId="1" applyNumberFormat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14" fontId="18" fillId="0" borderId="14" xfId="1" applyNumberFormat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0" fontId="19" fillId="0" borderId="14" xfId="1" applyFont="1" applyBorder="1" applyAlignment="1">
      <alignment vertical="center" wrapText="1"/>
    </xf>
    <xf numFmtId="164" fontId="12" fillId="5" borderId="12" xfId="1" applyNumberFormat="1" applyFont="1" applyFill="1" applyBorder="1" applyAlignment="1">
      <alignment vertical="center" wrapText="1"/>
    </xf>
    <xf numFmtId="0" fontId="12" fillId="5" borderId="12" xfId="1" applyFont="1" applyFill="1" applyBorder="1" applyAlignment="1">
      <alignment horizontal="center" vertical="center" wrapText="1"/>
    </xf>
    <xf numFmtId="0" fontId="12" fillId="5" borderId="13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8" fillId="8" borderId="14" xfId="1" applyFill="1" applyBorder="1" applyAlignment="1">
      <alignment horizontal="center" vertical="center" wrapText="1"/>
    </xf>
    <xf numFmtId="0" fontId="16" fillId="8" borderId="1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1"/>
    <xf numFmtId="0" fontId="12" fillId="0" borderId="0" xfId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49" fontId="5" fillId="2" borderId="8" xfId="0" applyNumberFormat="1" applyFont="1" applyFill="1" applyBorder="1" applyAlignment="1">
      <alignment horizontal="right" vertical="center" wrapText="1"/>
    </xf>
    <xf numFmtId="0" fontId="19" fillId="0" borderId="17" xfId="1" applyFont="1" applyBorder="1" applyAlignment="1">
      <alignment vertical="center" wrapText="1"/>
    </xf>
    <xf numFmtId="0" fontId="17" fillId="8" borderId="17" xfId="1" applyFont="1" applyFill="1" applyBorder="1" applyAlignment="1">
      <alignment horizontal="center" vertical="center" wrapText="1"/>
    </xf>
    <xf numFmtId="0" fontId="18" fillId="8" borderId="17" xfId="1" applyFont="1" applyFill="1" applyBorder="1" applyAlignment="1">
      <alignment horizontal="center" vertical="center" wrapText="1"/>
    </xf>
    <xf numFmtId="14" fontId="10" fillId="0" borderId="17" xfId="1" applyNumberFormat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6" fillId="0" borderId="18" xfId="1" applyFont="1" applyBorder="1" applyAlignment="1">
      <alignment vertical="center" wrapText="1"/>
    </xf>
    <xf numFmtId="0" fontId="8" fillId="8" borderId="18" xfId="1" applyFill="1" applyBorder="1" applyAlignment="1">
      <alignment horizontal="center" vertical="center" wrapText="1"/>
    </xf>
    <xf numFmtId="0" fontId="16" fillId="8" borderId="18" xfId="1" applyFont="1" applyFill="1" applyBorder="1" applyAlignment="1">
      <alignment horizontal="center" vertical="center" wrapText="1"/>
    </xf>
    <xf numFmtId="14" fontId="10" fillId="0" borderId="18" xfId="1" applyNumberFormat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21" fillId="0" borderId="1" xfId="2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vertical="center" wrapText="1"/>
    </xf>
    <xf numFmtId="0" fontId="8" fillId="8" borderId="17" xfId="1" applyFill="1" applyBorder="1" applyAlignment="1">
      <alignment horizontal="center" vertical="center" wrapText="1"/>
    </xf>
    <xf numFmtId="0" fontId="10" fillId="8" borderId="17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9" borderId="19" xfId="2" applyFont="1" applyFill="1" applyBorder="1" applyAlignment="1">
      <alignment horizontal="center"/>
    </xf>
    <xf numFmtId="0" fontId="26" fillId="0" borderId="19" xfId="2" applyFont="1" applyBorder="1" applyAlignment="1">
      <alignment horizontal="left" vertical="center"/>
    </xf>
    <xf numFmtId="0" fontId="26" fillId="0" borderId="19" xfId="2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wrapText="1"/>
    </xf>
    <xf numFmtId="14" fontId="28" fillId="0" borderId="19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14" fontId="26" fillId="0" borderId="19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49" fontId="28" fillId="0" borderId="19" xfId="0" applyNumberFormat="1" applyFont="1" applyBorder="1" applyAlignment="1">
      <alignment horizontal="center" vertical="center"/>
    </xf>
    <xf numFmtId="49" fontId="26" fillId="0" borderId="19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6" fillId="0" borderId="19" xfId="2" applyFont="1" applyBorder="1" applyAlignment="1">
      <alignment horizontal="center" vertical="center" wrapText="1"/>
    </xf>
    <xf numFmtId="49" fontId="31" fillId="0" borderId="19" xfId="2" applyNumberFormat="1" applyFont="1" applyBorder="1" applyAlignment="1">
      <alignment horizontal="center" wrapText="1"/>
    </xf>
    <xf numFmtId="49" fontId="31" fillId="0" borderId="19" xfId="0" applyNumberFormat="1" applyFont="1" applyBorder="1" applyAlignment="1">
      <alignment horizontal="center" wrapText="1"/>
    </xf>
    <xf numFmtId="0" fontId="32" fillId="0" borderId="1" xfId="2" applyFont="1" applyBorder="1" applyAlignment="1">
      <alignment horizontal="left" vertical="center"/>
    </xf>
    <xf numFmtId="0" fontId="32" fillId="0" borderId="0" xfId="2" applyFont="1" applyAlignment="1">
      <alignment horizontal="left" vertical="center"/>
    </xf>
    <xf numFmtId="0" fontId="6" fillId="0" borderId="1" xfId="0" applyFont="1" applyBorder="1"/>
    <xf numFmtId="0" fontId="2" fillId="0" borderId="0" xfId="0" applyFont="1"/>
    <xf numFmtId="14" fontId="11" fillId="6" borderId="14" xfId="3" applyNumberFormat="1" applyFont="1" applyFill="1" applyBorder="1" applyAlignment="1">
      <alignment vertical="center" wrapText="1"/>
    </xf>
    <xf numFmtId="0" fontId="12" fillId="5" borderId="17" xfId="3" applyFont="1" applyFill="1" applyBorder="1" applyAlignment="1">
      <alignment horizontal="center" vertical="center" wrapText="1"/>
    </xf>
    <xf numFmtId="0" fontId="12" fillId="5" borderId="14" xfId="3" applyFont="1" applyFill="1" applyBorder="1" applyAlignment="1">
      <alignment horizontal="center" vertical="center" wrapText="1"/>
    </xf>
    <xf numFmtId="0" fontId="14" fillId="0" borderId="1" xfId="3" applyBorder="1"/>
    <xf numFmtId="0" fontId="10" fillId="0" borderId="13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7" borderId="14" xfId="3" applyFont="1" applyFill="1" applyBorder="1" applyAlignment="1">
      <alignment horizontal="center" vertical="center" wrapText="1"/>
    </xf>
    <xf numFmtId="166" fontId="10" fillId="0" borderId="14" xfId="3" applyNumberFormat="1" applyFont="1" applyBorder="1" applyAlignment="1">
      <alignment horizontal="right" vertical="center" wrapText="1"/>
    </xf>
    <xf numFmtId="4" fontId="12" fillId="5" borderId="14" xfId="3" applyNumberFormat="1" applyFont="1" applyFill="1" applyBorder="1" applyAlignment="1">
      <alignment horizontal="center" vertical="center" wrapText="1"/>
    </xf>
    <xf numFmtId="3" fontId="12" fillId="5" borderId="14" xfId="3" applyNumberFormat="1" applyFont="1" applyFill="1" applyBorder="1" applyAlignment="1">
      <alignment horizontal="center" vertical="center" wrapText="1"/>
    </xf>
    <xf numFmtId="0" fontId="35" fillId="5" borderId="12" xfId="3" applyFont="1" applyFill="1" applyBorder="1" applyAlignment="1">
      <alignment vertical="center" wrapText="1"/>
    </xf>
    <xf numFmtId="166" fontId="10" fillId="7" borderId="14" xfId="3" applyNumberFormat="1" applyFont="1" applyFill="1" applyBorder="1" applyAlignment="1">
      <alignment vertical="center" wrapText="1"/>
    </xf>
    <xf numFmtId="3" fontId="10" fillId="7" borderId="14" xfId="3" applyNumberFormat="1" applyFont="1" applyFill="1" applyBorder="1" applyAlignment="1">
      <alignment horizontal="center" vertical="center" wrapText="1"/>
    </xf>
    <xf numFmtId="0" fontId="35" fillId="7" borderId="14" xfId="3" applyFont="1" applyFill="1" applyBorder="1" applyAlignment="1">
      <alignment vertical="center" wrapText="1"/>
    </xf>
    <xf numFmtId="166" fontId="14" fillId="7" borderId="14" xfId="3" applyNumberFormat="1" applyFill="1" applyBorder="1" applyAlignment="1">
      <alignment horizontal="right" vertical="center" wrapText="1"/>
    </xf>
    <xf numFmtId="166" fontId="35" fillId="7" borderId="14" xfId="3" applyNumberFormat="1" applyFont="1" applyFill="1" applyBorder="1" applyAlignment="1">
      <alignment vertical="center" wrapText="1"/>
    </xf>
    <xf numFmtId="4" fontId="10" fillId="7" borderId="14" xfId="3" applyNumberFormat="1" applyFont="1" applyFill="1" applyBorder="1" applyAlignment="1">
      <alignment vertical="center" wrapText="1"/>
    </xf>
    <xf numFmtId="4" fontId="35" fillId="7" borderId="14" xfId="3" applyNumberFormat="1" applyFont="1" applyFill="1" applyBorder="1" applyAlignment="1">
      <alignment vertical="center" wrapText="1"/>
    </xf>
    <xf numFmtId="166" fontId="12" fillId="5" borderId="11" xfId="3" applyNumberFormat="1" applyFont="1" applyFill="1" applyBorder="1" applyAlignment="1">
      <alignment horizontal="right" vertical="center" wrapText="1"/>
    </xf>
    <xf numFmtId="0" fontId="35" fillId="0" borderId="0" xfId="3" applyFont="1" applyAlignment="1">
      <alignment vertical="center" wrapText="1"/>
    </xf>
    <xf numFmtId="4" fontId="35" fillId="0" borderId="0" xfId="3" applyNumberFormat="1" applyFont="1" applyAlignment="1">
      <alignment vertical="center" wrapText="1"/>
    </xf>
    <xf numFmtId="0" fontId="10" fillId="0" borderId="14" xfId="3" applyFont="1" applyBorder="1" applyAlignment="1">
      <alignment vertical="center" wrapText="1"/>
    </xf>
    <xf numFmtId="0" fontId="10" fillId="8" borderId="14" xfId="3" applyFont="1" applyFill="1" applyBorder="1" applyAlignment="1">
      <alignment horizontal="center" vertical="center" wrapText="1"/>
    </xf>
    <xf numFmtId="0" fontId="10" fillId="8" borderId="14" xfId="3" applyFont="1" applyFill="1" applyBorder="1" applyAlignment="1">
      <alignment vertical="center" wrapText="1"/>
    </xf>
    <xf numFmtId="166" fontId="10" fillId="7" borderId="14" xfId="3" applyNumberFormat="1" applyFont="1" applyFill="1" applyBorder="1" applyAlignment="1">
      <alignment horizontal="right" vertical="center" wrapText="1"/>
    </xf>
    <xf numFmtId="0" fontId="35" fillId="5" borderId="14" xfId="3" applyFont="1" applyFill="1" applyBorder="1" applyAlignment="1">
      <alignment vertical="center" wrapText="1"/>
    </xf>
    <xf numFmtId="166" fontId="10" fillId="7" borderId="14" xfId="3" applyNumberFormat="1" applyFont="1" applyFill="1" applyBorder="1" applyAlignment="1">
      <alignment horizontal="center" vertical="center" wrapText="1"/>
    </xf>
    <xf numFmtId="166" fontId="12" fillId="5" borderId="14" xfId="3" applyNumberFormat="1" applyFont="1" applyFill="1" applyBorder="1" applyAlignment="1">
      <alignment horizontal="right" vertical="center" wrapText="1"/>
    </xf>
    <xf numFmtId="166" fontId="35" fillId="0" borderId="0" xfId="3" applyNumberFormat="1" applyFont="1" applyAlignment="1">
      <alignment vertical="center" wrapText="1"/>
    </xf>
    <xf numFmtId="4" fontId="35" fillId="8" borderId="0" xfId="3" applyNumberFormat="1" applyFont="1" applyFill="1" applyAlignment="1">
      <alignment vertical="center" wrapText="1"/>
    </xf>
    <xf numFmtId="166" fontId="12" fillId="5" borderId="14" xfId="3" applyNumberFormat="1" applyFont="1" applyFill="1" applyBorder="1" applyAlignment="1">
      <alignment horizontal="center" vertical="center" wrapText="1"/>
    </xf>
    <xf numFmtId="166" fontId="10" fillId="0" borderId="14" xfId="3" applyNumberFormat="1" applyFont="1" applyBorder="1" applyAlignment="1">
      <alignment vertical="center" wrapText="1"/>
    </xf>
    <xf numFmtId="166" fontId="10" fillId="0" borderId="14" xfId="3" applyNumberFormat="1" applyFont="1" applyBorder="1" applyAlignment="1">
      <alignment horizontal="center" vertical="center" wrapText="1"/>
    </xf>
    <xf numFmtId="4" fontId="10" fillId="7" borderId="14" xfId="3" applyNumberFormat="1" applyFont="1" applyFill="1" applyBorder="1" applyAlignment="1">
      <alignment horizontal="center" vertical="center" wrapText="1"/>
    </xf>
    <xf numFmtId="0" fontId="35" fillId="8" borderId="0" xfId="3" applyFont="1" applyFill="1" applyAlignment="1">
      <alignment vertical="center" wrapText="1"/>
    </xf>
    <xf numFmtId="0" fontId="41" fillId="8" borderId="0" xfId="3" applyFont="1" applyFill="1" applyAlignment="1">
      <alignment vertical="center" wrapText="1"/>
    </xf>
    <xf numFmtId="0" fontId="14" fillId="0" borderId="0" xfId="3" applyAlignment="1">
      <alignment vertical="center" wrapText="1"/>
    </xf>
    <xf numFmtId="0" fontId="21" fillId="0" borderId="0" xfId="3" applyFont="1"/>
    <xf numFmtId="0" fontId="2" fillId="0" borderId="0" xfId="0" applyFont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0" fillId="0" borderId="11" xfId="1" applyFont="1" applyBorder="1" applyAlignment="1">
      <alignment wrapText="1"/>
    </xf>
    <xf numFmtId="0" fontId="9" fillId="0" borderId="12" xfId="1" applyFont="1" applyBorder="1"/>
    <xf numFmtId="0" fontId="9" fillId="0" borderId="13" xfId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4" fontId="12" fillId="5" borderId="0" xfId="1" applyNumberFormat="1" applyFont="1" applyFill="1" applyAlignment="1">
      <alignment wrapText="1"/>
    </xf>
    <xf numFmtId="0" fontId="8" fillId="0" borderId="0" xfId="1"/>
    <xf numFmtId="0" fontId="10" fillId="8" borderId="11" xfId="1" applyFont="1" applyFill="1" applyBorder="1" applyAlignment="1">
      <alignment wrapText="1"/>
    </xf>
    <xf numFmtId="0" fontId="13" fillId="0" borderId="0" xfId="1" applyFont="1" applyAlignment="1">
      <alignment horizontal="left" wrapText="1"/>
    </xf>
    <xf numFmtId="0" fontId="10" fillId="6" borderId="11" xfId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8" fillId="0" borderId="0" xfId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3" fillId="0" borderId="16" xfId="1" applyFont="1" applyBorder="1" applyAlignment="1">
      <alignment horizontal="left" wrapText="1"/>
    </xf>
    <xf numFmtId="0" fontId="12" fillId="0" borderId="20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11" xfId="3" applyBorder="1" applyAlignment="1">
      <alignment vertical="center" wrapText="1"/>
    </xf>
    <xf numFmtId="0" fontId="21" fillId="0" borderId="12" xfId="3" applyFont="1" applyBorder="1"/>
    <xf numFmtId="0" fontId="21" fillId="0" borderId="13" xfId="3" applyFont="1" applyBorder="1"/>
    <xf numFmtId="0" fontId="40" fillId="0" borderId="11" xfId="3" applyFont="1" applyBorder="1" applyAlignment="1">
      <alignment vertical="center" wrapText="1"/>
    </xf>
    <xf numFmtId="0" fontId="40" fillId="0" borderId="0" xfId="3" applyFont="1" applyAlignment="1">
      <alignment vertical="center" wrapText="1"/>
    </xf>
    <xf numFmtId="0" fontId="14" fillId="0" borderId="0" xfId="3"/>
    <xf numFmtId="4" fontId="12" fillId="5" borderId="11" xfId="3" applyNumberFormat="1" applyFont="1" applyFill="1" applyBorder="1" applyAlignment="1">
      <alignment horizontal="left" vertical="center" wrapText="1"/>
    </xf>
    <xf numFmtId="0" fontId="14" fillId="8" borderId="11" xfId="3" applyFill="1" applyBorder="1" applyAlignment="1">
      <alignment horizontal="left" wrapText="1"/>
    </xf>
    <xf numFmtId="0" fontId="10" fillId="0" borderId="11" xfId="3" applyFont="1" applyBorder="1" applyAlignment="1">
      <alignment vertical="center" wrapText="1"/>
    </xf>
    <xf numFmtId="0" fontId="10" fillId="6" borderId="11" xfId="3" applyFont="1" applyFill="1" applyBorder="1" applyAlignment="1">
      <alignment vertical="center" wrapText="1"/>
    </xf>
    <xf numFmtId="0" fontId="12" fillId="5" borderId="11" xfId="3" applyFont="1" applyFill="1" applyBorder="1" applyAlignment="1">
      <alignment horizontal="center" vertical="center" wrapText="1"/>
    </xf>
    <xf numFmtId="0" fontId="37" fillId="8" borderId="11" xfId="3" applyFont="1" applyFill="1" applyBorder="1" applyAlignment="1">
      <alignment horizontal="left" wrapText="1"/>
    </xf>
    <xf numFmtId="0" fontId="38" fillId="0" borderId="12" xfId="3" applyFont="1" applyBorder="1"/>
    <xf numFmtId="0" fontId="38" fillId="0" borderId="13" xfId="3" applyFont="1" applyBorder="1"/>
    <xf numFmtId="0" fontId="37" fillId="0" borderId="11" xfId="3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0" fillId="0" borderId="0" xfId="0" applyFont="1"/>
  </cellXfs>
  <cellStyles count="4">
    <cellStyle name="Normal" xfId="0" builtinId="0"/>
    <cellStyle name="Normal 2" xfId="1" xr:uid="{00000000-0005-0000-0000-000001000000}"/>
    <cellStyle name="Normal 2 2" xfId="3" xr:uid="{D623A257-CC91-42E6-9FC9-616BAEB28CCD}"/>
    <cellStyle name="Normal_Plan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G74"/>
  <sheetViews>
    <sheetView workbookViewId="0">
      <selection activeCell="G62" sqref="G62"/>
    </sheetView>
  </sheetViews>
  <sheetFormatPr defaultRowHeight="15" x14ac:dyDescent="0.25"/>
  <cols>
    <col min="1" max="1" width="46.85546875" customWidth="1"/>
    <col min="2" max="2" width="12.5703125" customWidth="1"/>
    <col min="3" max="3" width="21.85546875" customWidth="1"/>
    <col min="4" max="4" width="25.42578125" customWidth="1"/>
    <col min="5" max="5" width="16.85546875" customWidth="1"/>
    <col min="6" max="6" width="17.42578125" customWidth="1"/>
    <col min="7" max="7" width="21.85546875" customWidth="1"/>
  </cols>
  <sheetData>
    <row r="1" spans="1:7" x14ac:dyDescent="0.25">
      <c r="A1" s="14">
        <v>44602</v>
      </c>
      <c r="B1" s="141" t="s">
        <v>14</v>
      </c>
      <c r="C1" s="132"/>
      <c r="D1" s="132"/>
      <c r="E1" s="132"/>
      <c r="F1" s="132"/>
      <c r="G1" s="133"/>
    </row>
    <row r="2" spans="1:7" x14ac:dyDescent="0.25">
      <c r="A2" s="15" t="s">
        <v>15</v>
      </c>
      <c r="B2" s="15" t="s">
        <v>16</v>
      </c>
      <c r="C2" s="142"/>
      <c r="D2" s="138"/>
      <c r="E2" s="138"/>
      <c r="F2" s="138"/>
      <c r="G2" s="138"/>
    </row>
    <row r="3" spans="1:7" x14ac:dyDescent="0.25">
      <c r="A3" s="17" t="s">
        <v>17</v>
      </c>
      <c r="B3" s="18">
        <v>299</v>
      </c>
      <c r="C3" s="140" t="s">
        <v>80</v>
      </c>
      <c r="D3" s="138"/>
      <c r="E3" s="138"/>
      <c r="F3" s="138"/>
      <c r="G3" s="138"/>
    </row>
    <row r="4" spans="1:7" x14ac:dyDescent="0.25">
      <c r="A4" s="17" t="s">
        <v>18</v>
      </c>
      <c r="B4" s="18">
        <v>6</v>
      </c>
      <c r="C4" s="143" t="s">
        <v>78</v>
      </c>
      <c r="D4" s="144"/>
      <c r="E4" s="144"/>
      <c r="F4" s="144"/>
      <c r="G4" s="144"/>
    </row>
    <row r="5" spans="1:7" x14ac:dyDescent="0.25">
      <c r="A5" s="17" t="s">
        <v>19</v>
      </c>
      <c r="B5" s="18">
        <v>14</v>
      </c>
      <c r="C5" s="140"/>
      <c r="D5" s="138"/>
      <c r="E5" s="138"/>
      <c r="F5" s="138"/>
      <c r="G5" s="138"/>
    </row>
    <row r="6" spans="1:7" x14ac:dyDescent="0.25">
      <c r="A6" s="17" t="s">
        <v>20</v>
      </c>
      <c r="B6" s="18">
        <v>92</v>
      </c>
      <c r="C6" s="140"/>
      <c r="D6" s="138"/>
      <c r="E6" s="138"/>
      <c r="F6" s="138"/>
      <c r="G6" s="138"/>
    </row>
    <row r="7" spans="1:7" x14ac:dyDescent="0.25">
      <c r="A7" s="19" t="s">
        <v>21</v>
      </c>
      <c r="B7" s="15">
        <f>SUM(B3:B6)</f>
        <v>411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60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0</v>
      </c>
      <c r="G11" s="21">
        <f>SUM(A11:F11)</f>
        <v>347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60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82</v>
      </c>
      <c r="B15" s="18">
        <v>0</v>
      </c>
      <c r="C15" s="18">
        <v>10</v>
      </c>
      <c r="D15" s="20">
        <v>0</v>
      </c>
      <c r="E15" s="28">
        <f>SUM(A15:D15)</f>
        <v>92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25.5" x14ac:dyDescent="0.25">
      <c r="A19" s="30" t="s">
        <v>39</v>
      </c>
      <c r="B19" s="31" t="s">
        <v>40</v>
      </c>
      <c r="C19" s="32" t="s">
        <v>41</v>
      </c>
      <c r="D19" s="33">
        <v>42103</v>
      </c>
      <c r="E19" s="34"/>
      <c r="F19" s="35"/>
      <c r="G19" s="36"/>
    </row>
    <row r="20" spans="1:7" ht="25.5" x14ac:dyDescent="0.25">
      <c r="A20" s="37" t="s">
        <v>42</v>
      </c>
      <c r="B20" s="31" t="s">
        <v>40</v>
      </c>
      <c r="C20" s="32" t="s">
        <v>41</v>
      </c>
      <c r="D20" s="33">
        <v>40455</v>
      </c>
      <c r="E20" s="18"/>
      <c r="F20" s="33"/>
      <c r="G20" s="36"/>
    </row>
    <row r="21" spans="1:7" ht="25.5" x14ac:dyDescent="0.25">
      <c r="A21" s="30" t="s">
        <v>43</v>
      </c>
      <c r="B21" s="31" t="s">
        <v>40</v>
      </c>
      <c r="C21" s="43" t="s">
        <v>44</v>
      </c>
      <c r="D21" s="33">
        <v>44256</v>
      </c>
      <c r="E21" s="18"/>
      <c r="F21" s="33"/>
      <c r="G21" s="36"/>
    </row>
    <row r="22" spans="1:7" ht="28.5" x14ac:dyDescent="0.25">
      <c r="A22" s="30" t="s">
        <v>45</v>
      </c>
      <c r="B22" s="42" t="s">
        <v>40</v>
      </c>
      <c r="C22" s="43" t="s">
        <v>44</v>
      </c>
      <c r="D22" s="33">
        <v>43237</v>
      </c>
      <c r="E22" s="18" t="s">
        <v>73</v>
      </c>
      <c r="F22" s="33" t="s">
        <v>72</v>
      </c>
      <c r="G22" s="36"/>
    </row>
    <row r="23" spans="1:7" x14ac:dyDescent="0.25">
      <c r="A23" s="38" t="s">
        <v>46</v>
      </c>
      <c r="B23" s="39">
        <f>COUNTIF(A19:A22,"&lt;&gt;")</f>
        <v>4</v>
      </c>
      <c r="C23" s="38"/>
      <c r="D23" s="38"/>
      <c r="E23" s="38"/>
      <c r="F23" s="40"/>
      <c r="G23" s="41"/>
    </row>
    <row r="24" spans="1:7" x14ac:dyDescent="0.25">
      <c r="A24" s="45"/>
      <c r="B24" s="45"/>
      <c r="C24" s="45"/>
      <c r="D24" s="45"/>
      <c r="E24" s="45"/>
      <c r="F24" s="45"/>
      <c r="G24" s="45"/>
    </row>
    <row r="25" spans="1:7" x14ac:dyDescent="0.25">
      <c r="A25" s="137" t="s">
        <v>47</v>
      </c>
      <c r="B25" s="138"/>
      <c r="C25" s="138"/>
      <c r="D25" s="138"/>
      <c r="E25" s="138"/>
      <c r="F25" s="138"/>
      <c r="G25" s="45"/>
    </row>
    <row r="26" spans="1:7" x14ac:dyDescent="0.25">
      <c r="A26" s="139" t="s">
        <v>48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49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50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51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52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53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54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55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56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57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58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59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60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61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62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63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64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65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66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67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68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69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70</v>
      </c>
      <c r="B48" s="132"/>
      <c r="C48" s="132"/>
      <c r="D48" s="132"/>
      <c r="E48" s="132"/>
      <c r="F48" s="133"/>
      <c r="G48" s="45"/>
    </row>
    <row r="49" spans="1:7" x14ac:dyDescent="0.25">
      <c r="A49" s="131" t="s">
        <v>71</v>
      </c>
      <c r="B49" s="132"/>
      <c r="C49" s="132"/>
      <c r="D49" s="132"/>
      <c r="E49" s="132"/>
      <c r="F49" s="133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2" spans="1:7" x14ac:dyDescent="0.25">
      <c r="A52" s="134" t="s">
        <v>0</v>
      </c>
      <c r="B52" s="134"/>
      <c r="C52" s="134"/>
      <c r="D52" s="134"/>
    </row>
    <row r="53" spans="1:7" x14ac:dyDescent="0.25">
      <c r="A53" s="44"/>
      <c r="B53" s="44"/>
      <c r="C53" s="44"/>
      <c r="D53" s="44"/>
    </row>
    <row r="54" spans="1:7" x14ac:dyDescent="0.25">
      <c r="A54" s="135" t="s">
        <v>7</v>
      </c>
      <c r="B54" s="135"/>
      <c r="C54" s="135"/>
      <c r="D54" s="135"/>
    </row>
    <row r="55" spans="1:7" x14ac:dyDescent="0.25">
      <c r="A55" s="129" t="s">
        <v>8</v>
      </c>
      <c r="B55" s="129"/>
      <c r="C55" s="129"/>
      <c r="D55" s="129"/>
    </row>
    <row r="59" spans="1:7" ht="15.75" thickBot="1" x14ac:dyDescent="0.3">
      <c r="A59" s="130"/>
      <c r="B59" s="130"/>
      <c r="C59" s="130"/>
      <c r="D59" s="130"/>
    </row>
    <row r="60" spans="1:7" ht="15.75" thickTop="1" x14ac:dyDescent="0.25">
      <c r="A60" s="9" t="s">
        <v>1</v>
      </c>
      <c r="B60" s="10" t="s">
        <v>5</v>
      </c>
      <c r="C60" s="10" t="s">
        <v>4</v>
      </c>
      <c r="D60" s="11" t="s">
        <v>6</v>
      </c>
    </row>
    <row r="61" spans="1:7" x14ac:dyDescent="0.25">
      <c r="A61" s="1" t="s">
        <v>11</v>
      </c>
      <c r="B61" s="2">
        <v>164</v>
      </c>
      <c r="C61" s="3">
        <v>136</v>
      </c>
      <c r="D61" s="4">
        <v>300</v>
      </c>
    </row>
    <row r="62" spans="1:7" x14ac:dyDescent="0.25">
      <c r="A62" s="1" t="s">
        <v>3</v>
      </c>
      <c r="B62" s="47" t="s">
        <v>74</v>
      </c>
      <c r="C62" s="3">
        <v>22</v>
      </c>
      <c r="D62" s="4">
        <v>25</v>
      </c>
    </row>
    <row r="63" spans="1:7" x14ac:dyDescent="0.25">
      <c r="A63" s="1" t="s">
        <v>12</v>
      </c>
      <c r="B63" s="47" t="s">
        <v>79</v>
      </c>
      <c r="C63" s="3">
        <v>91</v>
      </c>
      <c r="D63" s="4">
        <v>160</v>
      </c>
    </row>
    <row r="64" spans="1:7" x14ac:dyDescent="0.25">
      <c r="A64" s="1" t="s">
        <v>2</v>
      </c>
      <c r="B64" s="47" t="s">
        <v>75</v>
      </c>
      <c r="C64" s="3">
        <v>137</v>
      </c>
      <c r="D64" s="4">
        <v>200</v>
      </c>
    </row>
    <row r="65" spans="1:4" ht="15.75" thickBot="1" x14ac:dyDescent="0.3">
      <c r="A65" s="5" t="s">
        <v>10</v>
      </c>
      <c r="B65" s="48" t="s">
        <v>76</v>
      </c>
      <c r="C65" s="6">
        <v>60</v>
      </c>
      <c r="D65" s="7">
        <v>74</v>
      </c>
    </row>
    <row r="66" spans="1:4" ht="15.75" thickTop="1" x14ac:dyDescent="0.25"/>
    <row r="67" spans="1:4" x14ac:dyDescent="0.25">
      <c r="A67" s="13" t="s">
        <v>81</v>
      </c>
    </row>
    <row r="69" spans="1:4" x14ac:dyDescent="0.25">
      <c r="A69" s="12" t="s">
        <v>13</v>
      </c>
    </row>
    <row r="71" spans="1:4" x14ac:dyDescent="0.25">
      <c r="A71" s="8"/>
    </row>
    <row r="73" spans="1:4" x14ac:dyDescent="0.25">
      <c r="A73" t="s">
        <v>77</v>
      </c>
    </row>
    <row r="74" spans="1:4" x14ac:dyDescent="0.25">
      <c r="A74" s="8" t="s">
        <v>9</v>
      </c>
    </row>
  </sheetData>
  <mergeCells count="38">
    <mergeCell ref="C6:G6"/>
    <mergeCell ref="B1:G1"/>
    <mergeCell ref="C2:G2"/>
    <mergeCell ref="C3:G3"/>
    <mergeCell ref="C4:G4"/>
    <mergeCell ref="C5:G5"/>
    <mergeCell ref="A33:F33"/>
    <mergeCell ref="A9:G9"/>
    <mergeCell ref="A13:E13"/>
    <mergeCell ref="A17:F17"/>
    <mergeCell ref="A25:F25"/>
    <mergeCell ref="A26:F26"/>
    <mergeCell ref="A27:F27"/>
    <mergeCell ref="A28:F28"/>
    <mergeCell ref="A29:F29"/>
    <mergeCell ref="A30:F30"/>
    <mergeCell ref="A31:F31"/>
    <mergeCell ref="A32:F32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55:D55"/>
    <mergeCell ref="A59:D59"/>
    <mergeCell ref="A46:F46"/>
    <mergeCell ref="A47:F47"/>
    <mergeCell ref="A48:F48"/>
    <mergeCell ref="A49:F49"/>
    <mergeCell ref="A52:D52"/>
    <mergeCell ref="A54:D54"/>
  </mergeCells>
  <dataValidations count="1">
    <dataValidation type="list" allowBlank="1" sqref="A3:A6" xr:uid="{00000000-0002-0000-0C00-000000000000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AEB1-1FA8-402A-A546-84A5996035EB}">
  <sheetPr>
    <tabColor rgb="FFFF0000"/>
  </sheetPr>
  <dimension ref="A1:G96"/>
  <sheetViews>
    <sheetView workbookViewId="0">
      <selection activeCell="H10" sqref="H10"/>
    </sheetView>
  </sheetViews>
  <sheetFormatPr defaultRowHeight="15" x14ac:dyDescent="0.25"/>
  <cols>
    <col min="1" max="1" width="41.42578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19" customWidth="1"/>
    <col min="7" max="7" width="32" customWidth="1"/>
    <col min="8" max="8" width="14.5703125" customWidth="1"/>
  </cols>
  <sheetData>
    <row r="1" spans="1:7" x14ac:dyDescent="0.25">
      <c r="A1" s="14">
        <v>44872</v>
      </c>
      <c r="B1" s="141" t="s">
        <v>14</v>
      </c>
      <c r="C1" s="132"/>
      <c r="D1" s="132"/>
      <c r="E1" s="132"/>
      <c r="F1" s="132"/>
      <c r="G1" s="133"/>
    </row>
    <row r="2" spans="1:7" x14ac:dyDescent="0.25">
      <c r="A2" s="15" t="s">
        <v>15</v>
      </c>
      <c r="B2" s="15" t="s">
        <v>16</v>
      </c>
      <c r="C2" s="147"/>
      <c r="D2" s="148"/>
      <c r="E2" s="148"/>
      <c r="F2" s="148"/>
      <c r="G2" s="148"/>
    </row>
    <row r="3" spans="1:7" x14ac:dyDescent="0.25">
      <c r="A3" s="17" t="s">
        <v>17</v>
      </c>
      <c r="B3" s="18">
        <v>299</v>
      </c>
      <c r="C3" s="143" t="s">
        <v>389</v>
      </c>
      <c r="D3" s="149"/>
      <c r="E3" s="149"/>
      <c r="F3" s="149"/>
      <c r="G3" s="149"/>
    </row>
    <row r="4" spans="1:7" x14ac:dyDescent="0.25">
      <c r="A4" s="17" t="s">
        <v>18</v>
      </c>
      <c r="B4" s="18">
        <v>6</v>
      </c>
      <c r="C4" s="143" t="s">
        <v>83</v>
      </c>
      <c r="D4" s="149"/>
      <c r="E4" s="149"/>
      <c r="F4" s="149"/>
      <c r="G4" s="149"/>
    </row>
    <row r="5" spans="1:7" x14ac:dyDescent="0.25">
      <c r="A5" s="17" t="s">
        <v>19</v>
      </c>
      <c r="B5" s="18">
        <v>14</v>
      </c>
      <c r="C5" s="146"/>
      <c r="D5" s="140"/>
      <c r="E5" s="140"/>
      <c r="F5" s="140"/>
      <c r="G5" s="140"/>
    </row>
    <row r="6" spans="1:7" x14ac:dyDescent="0.25">
      <c r="A6" s="17" t="s">
        <v>390</v>
      </c>
      <c r="B6" s="18">
        <v>90</v>
      </c>
      <c r="C6" s="146"/>
      <c r="D6" s="140"/>
      <c r="E6" s="140"/>
      <c r="F6" s="140"/>
      <c r="G6" s="140"/>
    </row>
    <row r="7" spans="1:7" x14ac:dyDescent="0.25">
      <c r="A7" s="19" t="s">
        <v>21</v>
      </c>
      <c r="B7" s="15">
        <f>SUM(B3:B6)</f>
        <v>409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60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1</v>
      </c>
      <c r="G11" s="21">
        <f>SUM(A11:F11)</f>
        <v>348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30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80</v>
      </c>
      <c r="B15" s="18">
        <v>0</v>
      </c>
      <c r="C15" s="18">
        <v>10</v>
      </c>
      <c r="D15" s="20">
        <v>0</v>
      </c>
      <c r="E15" s="28">
        <f>SUM(A15:D15)</f>
        <v>90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15" customHeight="1" x14ac:dyDescent="0.25">
      <c r="A19" s="30" t="s">
        <v>39</v>
      </c>
      <c r="B19" s="42" t="s">
        <v>40</v>
      </c>
      <c r="C19" s="65" t="s">
        <v>41</v>
      </c>
      <c r="D19" s="33">
        <v>42103</v>
      </c>
      <c r="E19" s="18"/>
      <c r="F19" s="33"/>
      <c r="G19" s="36"/>
    </row>
    <row r="20" spans="1:7" ht="15" customHeight="1" x14ac:dyDescent="0.25">
      <c r="A20" s="66" t="s">
        <v>42</v>
      </c>
      <c r="B20" s="67" t="s">
        <v>40</v>
      </c>
      <c r="C20" s="68" t="s">
        <v>41</v>
      </c>
      <c r="D20" s="52">
        <v>40455</v>
      </c>
      <c r="E20" s="53"/>
      <c r="F20" s="52"/>
      <c r="G20" s="36"/>
    </row>
    <row r="21" spans="1:7" ht="15" customHeight="1" x14ac:dyDescent="0.25">
      <c r="A21" s="61" t="s">
        <v>92</v>
      </c>
      <c r="B21" s="62" t="s">
        <v>93</v>
      </c>
      <c r="C21" s="63" t="s">
        <v>91</v>
      </c>
      <c r="D21" s="64">
        <v>43497</v>
      </c>
      <c r="E21" s="60"/>
      <c r="F21" s="59"/>
      <c r="G21" s="36"/>
    </row>
    <row r="22" spans="1:7" ht="15" customHeight="1" x14ac:dyDescent="0.25">
      <c r="A22" s="54" t="s">
        <v>45</v>
      </c>
      <c r="B22" s="55" t="s">
        <v>40</v>
      </c>
      <c r="C22" s="56" t="s">
        <v>44</v>
      </c>
      <c r="D22" s="57">
        <v>43237</v>
      </c>
      <c r="E22" s="58" t="s">
        <v>73</v>
      </c>
      <c r="F22" s="57" t="s">
        <v>72</v>
      </c>
      <c r="G22" s="36"/>
    </row>
    <row r="23" spans="1:7" x14ac:dyDescent="0.25">
      <c r="A23" s="38" t="s">
        <v>46</v>
      </c>
      <c r="B23" s="39">
        <f>COUNTIF(A19:A22,"&lt;&gt;")</f>
        <v>4</v>
      </c>
      <c r="C23" s="38"/>
      <c r="D23" s="38"/>
      <c r="E23" s="38"/>
      <c r="F23" s="40"/>
      <c r="G23" s="41"/>
    </row>
    <row r="24" spans="1:7" x14ac:dyDescent="0.25">
      <c r="A24" s="45"/>
      <c r="B24" s="45"/>
      <c r="C24" s="45"/>
      <c r="D24" s="45"/>
      <c r="E24" s="45"/>
      <c r="F24" s="45"/>
      <c r="G24" s="45"/>
    </row>
    <row r="25" spans="1:7" x14ac:dyDescent="0.25">
      <c r="A25" s="137" t="s">
        <v>47</v>
      </c>
      <c r="B25" s="138"/>
      <c r="C25" s="138"/>
      <c r="D25" s="138"/>
      <c r="E25" s="138"/>
      <c r="F25" s="138"/>
      <c r="G25" s="45"/>
    </row>
    <row r="26" spans="1:7" x14ac:dyDescent="0.25">
      <c r="A26" s="139" t="s">
        <v>48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49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50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51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52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53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54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55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56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57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58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59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60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61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62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63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64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65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66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67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68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69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70</v>
      </c>
      <c r="B48" s="132"/>
      <c r="C48" s="132"/>
      <c r="D48" s="132"/>
      <c r="E48" s="132"/>
      <c r="F48" s="133"/>
      <c r="G48" s="45"/>
    </row>
    <row r="49" spans="1:7" x14ac:dyDescent="0.25">
      <c r="A49" s="131" t="s">
        <v>71</v>
      </c>
      <c r="B49" s="132"/>
      <c r="C49" s="132"/>
      <c r="D49" s="132"/>
      <c r="E49" s="132"/>
      <c r="F49" s="133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1" spans="1:7" x14ac:dyDescent="0.25">
      <c r="A51" s="45"/>
      <c r="B51" s="45"/>
      <c r="C51" s="45"/>
      <c r="D51" s="45"/>
      <c r="E51" s="45"/>
      <c r="F51" s="45"/>
      <c r="G51" s="45"/>
    </row>
    <row r="52" spans="1:7" x14ac:dyDescent="0.25">
      <c r="A52" s="45"/>
      <c r="B52" s="45"/>
      <c r="C52" s="45"/>
      <c r="D52" s="45"/>
      <c r="E52" s="45"/>
      <c r="F52" s="45"/>
      <c r="G52" s="45"/>
    </row>
    <row r="53" spans="1:7" x14ac:dyDescent="0.25">
      <c r="A53" s="45"/>
      <c r="B53" s="45"/>
      <c r="C53" s="45"/>
      <c r="D53" s="45"/>
      <c r="E53" s="45"/>
      <c r="F53" s="45"/>
      <c r="G53" s="45"/>
    </row>
    <row r="54" spans="1:7" x14ac:dyDescent="0.25">
      <c r="A54" s="45"/>
      <c r="B54" s="45"/>
      <c r="C54" s="45"/>
      <c r="D54" s="45"/>
      <c r="E54" s="45"/>
      <c r="F54" s="45"/>
      <c r="G54" s="45"/>
    </row>
    <row r="55" spans="1:7" x14ac:dyDescent="0.25">
      <c r="A55" s="45"/>
      <c r="B55" s="45"/>
      <c r="C55" s="45"/>
      <c r="D55" s="45"/>
      <c r="E55" s="45"/>
      <c r="F55" s="45"/>
      <c r="G55" s="45"/>
    </row>
    <row r="56" spans="1:7" x14ac:dyDescent="0.25">
      <c r="A56" s="45"/>
      <c r="B56" s="45"/>
      <c r="C56" s="45"/>
      <c r="D56" s="45"/>
      <c r="E56" s="45"/>
      <c r="F56" s="45"/>
      <c r="G56" s="45"/>
    </row>
    <row r="57" spans="1:7" x14ac:dyDescent="0.25">
      <c r="A57" s="45"/>
      <c r="B57" s="45"/>
      <c r="C57" s="45"/>
      <c r="D57" s="45"/>
      <c r="E57" s="45"/>
      <c r="F57" s="45"/>
      <c r="G57" s="45"/>
    </row>
    <row r="58" spans="1:7" x14ac:dyDescent="0.25">
      <c r="A58" s="45"/>
      <c r="B58" s="45"/>
      <c r="C58" s="45"/>
      <c r="D58" s="45"/>
      <c r="E58" s="45"/>
      <c r="F58" s="45"/>
      <c r="G58" s="45"/>
    </row>
    <row r="59" spans="1:7" x14ac:dyDescent="0.25">
      <c r="A59" s="45"/>
      <c r="B59" s="45"/>
      <c r="C59" s="45"/>
      <c r="D59" s="45"/>
      <c r="E59" s="45"/>
      <c r="F59" s="45"/>
      <c r="G59" s="45"/>
    </row>
    <row r="60" spans="1:7" x14ac:dyDescent="0.25">
      <c r="A60" s="45"/>
      <c r="B60" s="45"/>
      <c r="C60" s="45"/>
      <c r="D60" s="45"/>
      <c r="E60" s="45"/>
      <c r="F60" s="45"/>
      <c r="G60" s="45"/>
    </row>
    <row r="61" spans="1:7" x14ac:dyDescent="0.25">
      <c r="A61" s="45"/>
      <c r="B61" s="45"/>
      <c r="C61" s="45"/>
      <c r="D61" s="45"/>
      <c r="E61" s="45"/>
      <c r="F61" s="45"/>
      <c r="G61" s="45"/>
    </row>
    <row r="62" spans="1:7" x14ac:dyDescent="0.25">
      <c r="A62" s="45"/>
      <c r="B62" s="45"/>
      <c r="C62" s="45"/>
      <c r="D62" s="45"/>
      <c r="E62" s="45"/>
      <c r="F62" s="45"/>
      <c r="G62" s="45"/>
    </row>
    <row r="63" spans="1:7" x14ac:dyDescent="0.25">
      <c r="A63" s="45"/>
      <c r="B63" s="45"/>
      <c r="C63" s="45"/>
      <c r="D63" s="45"/>
      <c r="E63" s="45"/>
      <c r="F63" s="45"/>
      <c r="G63" s="45"/>
    </row>
    <row r="64" spans="1:7" x14ac:dyDescent="0.25">
      <c r="A64" s="45"/>
      <c r="B64" s="45"/>
      <c r="C64" s="45"/>
      <c r="D64" s="45"/>
      <c r="E64" s="45"/>
      <c r="F64" s="45"/>
      <c r="G64" s="45"/>
    </row>
    <row r="65" spans="1:7" x14ac:dyDescent="0.25">
      <c r="A65" s="45"/>
      <c r="B65" s="45"/>
      <c r="C65" s="45"/>
      <c r="D65" s="45"/>
      <c r="E65" s="45"/>
      <c r="F65" s="45"/>
      <c r="G65" s="45"/>
    </row>
    <row r="66" spans="1:7" x14ac:dyDescent="0.25">
      <c r="A66" s="45"/>
      <c r="B66" s="45"/>
      <c r="C66" s="45"/>
      <c r="D66" s="45"/>
      <c r="E66" s="45"/>
      <c r="F66" s="45"/>
      <c r="G66" s="45"/>
    </row>
    <row r="67" spans="1:7" x14ac:dyDescent="0.25">
      <c r="A67" s="45"/>
      <c r="B67" s="45"/>
      <c r="C67" s="45"/>
      <c r="D67" s="45"/>
      <c r="E67" s="45"/>
      <c r="F67" s="45"/>
      <c r="G67" s="45"/>
    </row>
    <row r="68" spans="1:7" x14ac:dyDescent="0.25">
      <c r="A68" s="45"/>
      <c r="B68" s="45"/>
      <c r="C68" s="45"/>
      <c r="D68" s="45"/>
      <c r="E68" s="45"/>
      <c r="F68" s="45"/>
      <c r="G68" s="45"/>
    </row>
    <row r="69" spans="1:7" x14ac:dyDescent="0.25">
      <c r="A69" s="45"/>
      <c r="B69" s="45"/>
      <c r="C69" s="45"/>
      <c r="D69" s="45"/>
      <c r="E69" s="45"/>
      <c r="F69" s="45"/>
      <c r="G69" s="45"/>
    </row>
    <row r="70" spans="1:7" x14ac:dyDescent="0.25">
      <c r="A70" s="45"/>
      <c r="B70" s="45"/>
      <c r="C70" s="45"/>
      <c r="D70" s="45"/>
      <c r="E70" s="45"/>
      <c r="F70" s="45"/>
      <c r="G70" s="45"/>
    </row>
    <row r="71" spans="1:7" x14ac:dyDescent="0.25">
      <c r="A71" s="45"/>
      <c r="B71" s="45"/>
      <c r="C71" s="45"/>
      <c r="D71" s="45"/>
      <c r="E71" s="45"/>
      <c r="F71" s="45"/>
      <c r="G71" s="45"/>
    </row>
    <row r="72" spans="1:7" x14ac:dyDescent="0.25">
      <c r="A72" s="45"/>
      <c r="B72" s="45"/>
      <c r="C72" s="45"/>
      <c r="D72" s="45"/>
      <c r="E72" s="45"/>
      <c r="F72" s="45"/>
      <c r="G72" s="45"/>
    </row>
    <row r="73" spans="1:7" x14ac:dyDescent="0.25">
      <c r="A73" s="45"/>
      <c r="B73" s="45"/>
      <c r="C73" s="45"/>
      <c r="D73" s="45"/>
      <c r="E73" s="45"/>
      <c r="F73" s="45"/>
      <c r="G73" s="45"/>
    </row>
    <row r="74" spans="1:7" x14ac:dyDescent="0.25">
      <c r="A74" s="45"/>
      <c r="B74" s="45"/>
      <c r="C74" s="45"/>
      <c r="D74" s="45"/>
      <c r="E74" s="45"/>
      <c r="F74" s="45"/>
      <c r="G74" s="45"/>
    </row>
    <row r="75" spans="1:7" x14ac:dyDescent="0.25">
      <c r="A75" s="45"/>
      <c r="B75" s="45"/>
      <c r="C75" s="45"/>
      <c r="D75" s="45"/>
      <c r="E75" s="45"/>
      <c r="F75" s="45"/>
      <c r="G75" s="45"/>
    </row>
    <row r="76" spans="1:7" x14ac:dyDescent="0.25">
      <c r="A76" s="45"/>
      <c r="B76" s="45"/>
      <c r="C76" s="45"/>
      <c r="D76" s="45"/>
      <c r="E76" s="45"/>
      <c r="F76" s="45"/>
      <c r="G76" s="45"/>
    </row>
    <row r="77" spans="1:7" x14ac:dyDescent="0.25">
      <c r="A77" s="134" t="s">
        <v>0</v>
      </c>
      <c r="B77" s="134"/>
      <c r="C77" s="134"/>
      <c r="D77" s="134"/>
    </row>
    <row r="78" spans="1:7" x14ac:dyDescent="0.25">
      <c r="A78" s="44"/>
      <c r="B78" s="44"/>
      <c r="C78" s="44"/>
      <c r="D78" s="44"/>
    </row>
    <row r="79" spans="1:7" x14ac:dyDescent="0.25">
      <c r="A79" s="135" t="s">
        <v>7</v>
      </c>
      <c r="B79" s="135"/>
      <c r="C79" s="135"/>
      <c r="D79" s="135"/>
    </row>
    <row r="80" spans="1:7" x14ac:dyDescent="0.25">
      <c r="A80" s="129" t="s">
        <v>8</v>
      </c>
      <c r="B80" s="129"/>
      <c r="C80" s="129"/>
      <c r="D80" s="129"/>
    </row>
    <row r="84" spans="1:4" ht="15.75" thickBot="1" x14ac:dyDescent="0.3">
      <c r="A84" s="130"/>
      <c r="B84" s="130"/>
      <c r="C84" s="130"/>
      <c r="D84" s="130"/>
    </row>
    <row r="85" spans="1:4" ht="15.75" thickTop="1" x14ac:dyDescent="0.25">
      <c r="A85" s="9" t="s">
        <v>1</v>
      </c>
      <c r="B85" s="10" t="s">
        <v>5</v>
      </c>
      <c r="C85" s="10" t="s">
        <v>4</v>
      </c>
      <c r="D85" s="11" t="s">
        <v>6</v>
      </c>
    </row>
    <row r="86" spans="1:4" ht="15" customHeight="1" x14ac:dyDescent="0.25">
      <c r="A86" s="1" t="s">
        <v>137</v>
      </c>
      <c r="B86" s="2">
        <v>164</v>
      </c>
      <c r="C86" s="3">
        <v>136</v>
      </c>
      <c r="D86" s="4">
        <v>300</v>
      </c>
    </row>
    <row r="87" spans="1:4" ht="15" customHeight="1" x14ac:dyDescent="0.25">
      <c r="A87" s="1" t="s">
        <v>3</v>
      </c>
      <c r="B87" s="47" t="s">
        <v>74</v>
      </c>
      <c r="C87" s="3">
        <v>22</v>
      </c>
      <c r="D87" s="4">
        <v>25</v>
      </c>
    </row>
    <row r="88" spans="1:4" ht="15" customHeight="1" x14ac:dyDescent="0.25">
      <c r="A88" s="1" t="s">
        <v>138</v>
      </c>
      <c r="B88" s="47" t="s">
        <v>391</v>
      </c>
      <c r="C88" s="3">
        <v>90</v>
      </c>
      <c r="D88" s="4">
        <v>160</v>
      </c>
    </row>
    <row r="89" spans="1:4" ht="15" customHeight="1" x14ac:dyDescent="0.25">
      <c r="A89" s="1" t="s">
        <v>2</v>
      </c>
      <c r="B89" s="47" t="s">
        <v>392</v>
      </c>
      <c r="C89" s="3">
        <v>138</v>
      </c>
      <c r="D89" s="4">
        <v>200</v>
      </c>
    </row>
    <row r="90" spans="1:4" ht="15" customHeight="1" thickBot="1" x14ac:dyDescent="0.3">
      <c r="A90" s="5" t="s">
        <v>10</v>
      </c>
      <c r="B90" s="48" t="s">
        <v>76</v>
      </c>
      <c r="C90" s="6">
        <v>60</v>
      </c>
      <c r="D90" s="7">
        <v>74</v>
      </c>
    </row>
    <row r="91" spans="1:4" ht="15.75" thickTop="1" x14ac:dyDescent="0.25"/>
    <row r="92" spans="1:4" x14ac:dyDescent="0.25">
      <c r="A92" s="13" t="s">
        <v>393</v>
      </c>
    </row>
    <row r="94" spans="1:4" x14ac:dyDescent="0.25">
      <c r="A94" s="12"/>
    </row>
    <row r="95" spans="1:4" x14ac:dyDescent="0.25">
      <c r="A95" t="s">
        <v>394</v>
      </c>
    </row>
    <row r="96" spans="1:4" x14ac:dyDescent="0.25">
      <c r="A96" s="8" t="s">
        <v>9</v>
      </c>
    </row>
  </sheetData>
  <mergeCells count="38">
    <mergeCell ref="A80:D80"/>
    <mergeCell ref="A84:D84"/>
    <mergeCell ref="A46:F46"/>
    <mergeCell ref="A47:F47"/>
    <mergeCell ref="A48:F48"/>
    <mergeCell ref="A49:F49"/>
    <mergeCell ref="A77:D77"/>
    <mergeCell ref="A79:D79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33:F33"/>
    <mergeCell ref="A9:G9"/>
    <mergeCell ref="A13:E13"/>
    <mergeCell ref="A17:F17"/>
    <mergeCell ref="A25:F25"/>
    <mergeCell ref="A26:F26"/>
    <mergeCell ref="A27:F27"/>
    <mergeCell ref="A28:F28"/>
    <mergeCell ref="A29:F29"/>
    <mergeCell ref="A30:F30"/>
    <mergeCell ref="A31:F31"/>
    <mergeCell ref="A32:F32"/>
    <mergeCell ref="C6:G6"/>
    <mergeCell ref="B1:G1"/>
    <mergeCell ref="C2:G2"/>
    <mergeCell ref="C3:G3"/>
    <mergeCell ref="C4:G4"/>
    <mergeCell ref="C5:G5"/>
  </mergeCells>
  <dataValidations count="1">
    <dataValidation type="list" allowBlank="1" sqref="A3:A6" xr:uid="{A1932827-EAE9-43F1-AFBF-19ED722148E9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1B8F-50DD-47EE-9C1E-C2FADC1C3C1D}">
  <sheetPr>
    <tabColor rgb="FFFF0000"/>
  </sheetPr>
  <dimension ref="A1:G81"/>
  <sheetViews>
    <sheetView topLeftCell="A13" workbookViewId="0">
      <selection activeCell="G22" sqref="G22"/>
    </sheetView>
  </sheetViews>
  <sheetFormatPr defaultRowHeight="15" x14ac:dyDescent="0.25"/>
  <cols>
    <col min="1" max="1" width="41.42578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7" x14ac:dyDescent="0.25">
      <c r="A1" s="14">
        <v>44911</v>
      </c>
      <c r="B1" s="141" t="s">
        <v>14</v>
      </c>
      <c r="C1" s="132"/>
      <c r="D1" s="132"/>
      <c r="E1" s="132"/>
      <c r="F1" s="132"/>
      <c r="G1" s="133"/>
    </row>
    <row r="2" spans="1:7" x14ac:dyDescent="0.25">
      <c r="A2" s="15" t="s">
        <v>15</v>
      </c>
      <c r="B2" s="15" t="s">
        <v>16</v>
      </c>
      <c r="C2" s="147"/>
      <c r="D2" s="148"/>
      <c r="E2" s="148"/>
      <c r="F2" s="148"/>
      <c r="G2" s="148"/>
    </row>
    <row r="3" spans="1:7" x14ac:dyDescent="0.25">
      <c r="A3" s="17" t="s">
        <v>17</v>
      </c>
      <c r="B3" s="18">
        <v>299</v>
      </c>
      <c r="C3" s="143" t="s">
        <v>389</v>
      </c>
      <c r="D3" s="149"/>
      <c r="E3" s="149"/>
      <c r="F3" s="149"/>
      <c r="G3" s="149"/>
    </row>
    <row r="4" spans="1:7" x14ac:dyDescent="0.25">
      <c r="A4" s="17" t="s">
        <v>18</v>
      </c>
      <c r="B4" s="18">
        <v>6</v>
      </c>
      <c r="C4" s="143" t="s">
        <v>83</v>
      </c>
      <c r="D4" s="149"/>
      <c r="E4" s="149"/>
      <c r="F4" s="149"/>
      <c r="G4" s="149"/>
    </row>
    <row r="5" spans="1:7" x14ac:dyDescent="0.25">
      <c r="A5" s="17" t="s">
        <v>19</v>
      </c>
      <c r="B5" s="18">
        <v>14</v>
      </c>
      <c r="C5" s="146"/>
      <c r="D5" s="140"/>
      <c r="E5" s="140"/>
      <c r="F5" s="140"/>
      <c r="G5" s="140"/>
    </row>
    <row r="6" spans="1:7" x14ac:dyDescent="0.25">
      <c r="A6" s="17" t="s">
        <v>390</v>
      </c>
      <c r="B6" s="18">
        <v>90</v>
      </c>
      <c r="C6" s="146"/>
      <c r="D6" s="140"/>
      <c r="E6" s="140"/>
      <c r="F6" s="140"/>
      <c r="G6" s="140"/>
    </row>
    <row r="7" spans="1:7" x14ac:dyDescent="0.25">
      <c r="A7" s="19" t="s">
        <v>21</v>
      </c>
      <c r="B7" s="15">
        <f>SUM(B3:B6)</f>
        <v>409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45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1</v>
      </c>
      <c r="G11" s="21">
        <f>SUM(A11:F11)</f>
        <v>348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30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80</v>
      </c>
      <c r="B15" s="18">
        <v>0</v>
      </c>
      <c r="C15" s="18">
        <v>10</v>
      </c>
      <c r="D15" s="20">
        <v>0</v>
      </c>
      <c r="E15" s="28">
        <f>SUM(A15:D15)</f>
        <v>90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28.5" x14ac:dyDescent="0.25">
      <c r="A19" s="30" t="s">
        <v>39</v>
      </c>
      <c r="B19" s="42" t="s">
        <v>40</v>
      </c>
      <c r="C19" s="65" t="s">
        <v>41</v>
      </c>
      <c r="D19" s="33">
        <v>42103</v>
      </c>
      <c r="E19" s="18" t="s">
        <v>395</v>
      </c>
      <c r="F19" s="33" t="s">
        <v>396</v>
      </c>
      <c r="G19" s="36"/>
    </row>
    <row r="20" spans="1:7" ht="25.5" x14ac:dyDescent="0.25">
      <c r="A20" s="66" t="s">
        <v>42</v>
      </c>
      <c r="B20" s="67" t="s">
        <v>40</v>
      </c>
      <c r="C20" s="68" t="s">
        <v>41</v>
      </c>
      <c r="D20" s="52">
        <v>40455</v>
      </c>
      <c r="E20" s="53"/>
      <c r="F20" s="52"/>
      <c r="G20" s="36"/>
    </row>
    <row r="21" spans="1:7" ht="28.5" x14ac:dyDescent="0.25">
      <c r="A21" s="61" t="s">
        <v>92</v>
      </c>
      <c r="B21" s="62" t="s">
        <v>93</v>
      </c>
      <c r="C21" s="63" t="s">
        <v>91</v>
      </c>
      <c r="D21" s="64">
        <v>43497</v>
      </c>
      <c r="E21" s="60"/>
      <c r="F21" s="59"/>
      <c r="G21" s="36"/>
    </row>
    <row r="22" spans="1:7" ht="28.5" x14ac:dyDescent="0.25">
      <c r="A22" s="54" t="s">
        <v>45</v>
      </c>
      <c r="B22" s="55" t="s">
        <v>40</v>
      </c>
      <c r="C22" s="56" t="s">
        <v>44</v>
      </c>
      <c r="D22" s="57">
        <v>43237</v>
      </c>
      <c r="E22" s="58" t="s">
        <v>73</v>
      </c>
      <c r="F22" s="57" t="s">
        <v>72</v>
      </c>
      <c r="G22" s="36"/>
    </row>
    <row r="23" spans="1:7" x14ac:dyDescent="0.25">
      <c r="A23" s="38" t="s">
        <v>46</v>
      </c>
      <c r="B23" s="39">
        <f>COUNTIF(A19:A22,"&lt;&gt;")</f>
        <v>4</v>
      </c>
      <c r="C23" s="38"/>
      <c r="D23" s="38"/>
      <c r="E23" s="38"/>
      <c r="F23" s="40"/>
      <c r="G23" s="41"/>
    </row>
    <row r="24" spans="1:7" x14ac:dyDescent="0.25">
      <c r="A24" s="45"/>
      <c r="B24" s="45"/>
      <c r="C24" s="45"/>
      <c r="D24" s="45"/>
      <c r="E24" s="45"/>
      <c r="F24" s="45"/>
      <c r="G24" s="45"/>
    </row>
    <row r="25" spans="1:7" x14ac:dyDescent="0.25">
      <c r="A25" s="137" t="s">
        <v>47</v>
      </c>
      <c r="B25" s="138"/>
      <c r="C25" s="138"/>
      <c r="D25" s="138"/>
      <c r="E25" s="138"/>
      <c r="F25" s="138"/>
      <c r="G25" s="45"/>
    </row>
    <row r="26" spans="1:7" x14ac:dyDescent="0.25">
      <c r="A26" s="139" t="s">
        <v>48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49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50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51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52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53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54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55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56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57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58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59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60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61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62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63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64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65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66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67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68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69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70</v>
      </c>
      <c r="B48" s="132"/>
      <c r="C48" s="132"/>
      <c r="D48" s="132"/>
      <c r="E48" s="132"/>
      <c r="F48" s="133"/>
      <c r="G48" s="45"/>
    </row>
    <row r="49" spans="1:7" x14ac:dyDescent="0.25">
      <c r="A49" s="131" t="s">
        <v>71</v>
      </c>
      <c r="B49" s="132"/>
      <c r="C49" s="132"/>
      <c r="D49" s="132"/>
      <c r="E49" s="132"/>
      <c r="F49" s="133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1" spans="1:7" x14ac:dyDescent="0.25">
      <c r="A51" s="45"/>
      <c r="B51" s="45"/>
      <c r="C51" s="45"/>
      <c r="D51" s="45"/>
      <c r="E51" s="45"/>
      <c r="F51" s="45"/>
      <c r="G51" s="45"/>
    </row>
    <row r="52" spans="1:7" x14ac:dyDescent="0.25">
      <c r="A52" s="45"/>
      <c r="B52" s="45"/>
      <c r="C52" s="45"/>
      <c r="D52" s="45"/>
      <c r="E52" s="45"/>
      <c r="F52" s="45"/>
      <c r="G52" s="45"/>
    </row>
    <row r="53" spans="1:7" x14ac:dyDescent="0.25">
      <c r="A53" s="45"/>
      <c r="B53" s="45"/>
      <c r="C53" s="45"/>
      <c r="D53" s="45"/>
      <c r="E53" s="45"/>
      <c r="F53" s="45"/>
      <c r="G53" s="45"/>
    </row>
    <row r="54" spans="1:7" x14ac:dyDescent="0.25">
      <c r="A54" s="45"/>
      <c r="B54" s="45"/>
      <c r="C54" s="45"/>
      <c r="D54" s="45"/>
      <c r="E54" s="45"/>
      <c r="F54" s="45"/>
      <c r="G54" s="45"/>
    </row>
    <row r="55" spans="1:7" x14ac:dyDescent="0.25">
      <c r="A55" s="45"/>
      <c r="B55" s="45"/>
      <c r="C55" s="45"/>
      <c r="D55" s="45"/>
      <c r="E55" s="45"/>
      <c r="F55" s="45"/>
      <c r="G55" s="45"/>
    </row>
    <row r="56" spans="1:7" x14ac:dyDescent="0.25">
      <c r="A56" s="45"/>
      <c r="B56" s="45"/>
      <c r="C56" s="45"/>
      <c r="D56" s="45"/>
      <c r="E56" s="45"/>
      <c r="F56" s="45"/>
      <c r="G56" s="45"/>
    </row>
    <row r="57" spans="1:7" x14ac:dyDescent="0.25">
      <c r="A57" s="45"/>
      <c r="B57" s="45"/>
      <c r="C57" s="45"/>
      <c r="D57" s="45"/>
      <c r="E57" s="45"/>
      <c r="F57" s="45"/>
      <c r="G57" s="45"/>
    </row>
    <row r="58" spans="1:7" x14ac:dyDescent="0.25">
      <c r="A58" s="134" t="s">
        <v>0</v>
      </c>
      <c r="B58" s="134"/>
      <c r="C58" s="134"/>
      <c r="D58" s="134"/>
    </row>
    <row r="59" spans="1:7" x14ac:dyDescent="0.25">
      <c r="A59" s="44"/>
      <c r="B59" s="44"/>
      <c r="C59" s="44"/>
      <c r="D59" s="44"/>
    </row>
    <row r="60" spans="1:7" x14ac:dyDescent="0.25">
      <c r="A60" s="135" t="s">
        <v>7</v>
      </c>
      <c r="B60" s="135"/>
      <c r="C60" s="135"/>
      <c r="D60" s="135"/>
    </row>
    <row r="61" spans="1:7" x14ac:dyDescent="0.25">
      <c r="A61" s="129" t="s">
        <v>8</v>
      </c>
      <c r="B61" s="129"/>
      <c r="C61" s="129"/>
      <c r="D61" s="129"/>
    </row>
    <row r="65" spans="1:4" ht="15.75" thickBot="1" x14ac:dyDescent="0.3">
      <c r="A65" s="130"/>
      <c r="B65" s="130"/>
      <c r="C65" s="130"/>
      <c r="D65" s="130"/>
    </row>
    <row r="66" spans="1:4" ht="15.75" thickTop="1" x14ac:dyDescent="0.25">
      <c r="A66" s="9" t="s">
        <v>1</v>
      </c>
      <c r="B66" s="10" t="s">
        <v>5</v>
      </c>
      <c r="C66" s="10" t="s">
        <v>4</v>
      </c>
      <c r="D66" s="11" t="s">
        <v>6</v>
      </c>
    </row>
    <row r="67" spans="1:4" x14ac:dyDescent="0.25">
      <c r="A67" s="1" t="s">
        <v>137</v>
      </c>
      <c r="B67" s="2">
        <v>164</v>
      </c>
      <c r="C67" s="3">
        <v>136</v>
      </c>
      <c r="D67" s="4">
        <v>300</v>
      </c>
    </row>
    <row r="68" spans="1:4" x14ac:dyDescent="0.25">
      <c r="A68" s="1" t="s">
        <v>3</v>
      </c>
      <c r="B68" s="47" t="s">
        <v>74</v>
      </c>
      <c r="C68" s="3">
        <v>22</v>
      </c>
      <c r="D68" s="4">
        <v>25</v>
      </c>
    </row>
    <row r="69" spans="1:4" x14ac:dyDescent="0.25">
      <c r="A69" s="1" t="s">
        <v>138</v>
      </c>
      <c r="B69" s="47" t="s">
        <v>391</v>
      </c>
      <c r="C69" s="3">
        <v>90</v>
      </c>
      <c r="D69" s="4">
        <v>160</v>
      </c>
    </row>
    <row r="70" spans="1:4" x14ac:dyDescent="0.25">
      <c r="A70" s="1" t="s">
        <v>2</v>
      </c>
      <c r="B70" s="47" t="s">
        <v>392</v>
      </c>
      <c r="C70" s="3">
        <v>138</v>
      </c>
      <c r="D70" s="4">
        <v>200</v>
      </c>
    </row>
    <row r="71" spans="1:4" ht="15.75" thickBot="1" x14ac:dyDescent="0.3">
      <c r="A71" s="5" t="s">
        <v>10</v>
      </c>
      <c r="B71" s="48" t="s">
        <v>76</v>
      </c>
      <c r="C71" s="6">
        <v>60</v>
      </c>
      <c r="D71" s="7">
        <v>74</v>
      </c>
    </row>
    <row r="72" spans="1:4" ht="15.75" thickTop="1" x14ac:dyDescent="0.25"/>
    <row r="73" spans="1:4" x14ac:dyDescent="0.25">
      <c r="A73" s="13" t="s">
        <v>397</v>
      </c>
    </row>
    <row r="75" spans="1:4" x14ac:dyDescent="0.25">
      <c r="A75" s="12"/>
    </row>
    <row r="76" spans="1:4" x14ac:dyDescent="0.25">
      <c r="A76" t="s">
        <v>398</v>
      </c>
    </row>
    <row r="77" spans="1:4" x14ac:dyDescent="0.25">
      <c r="A77" s="8" t="s">
        <v>9</v>
      </c>
    </row>
    <row r="81" spans="1:1" x14ac:dyDescent="0.25">
      <c r="A81" t="s">
        <v>399</v>
      </c>
    </row>
  </sheetData>
  <mergeCells count="38">
    <mergeCell ref="C6:G6"/>
    <mergeCell ref="B1:G1"/>
    <mergeCell ref="C2:G2"/>
    <mergeCell ref="C3:G3"/>
    <mergeCell ref="C4:G4"/>
    <mergeCell ref="C5:G5"/>
    <mergeCell ref="A33:F33"/>
    <mergeCell ref="A9:G9"/>
    <mergeCell ref="A13:E13"/>
    <mergeCell ref="A17:F17"/>
    <mergeCell ref="A25:F25"/>
    <mergeCell ref="A26:F26"/>
    <mergeCell ref="A27:F27"/>
    <mergeCell ref="A28:F28"/>
    <mergeCell ref="A29:F29"/>
    <mergeCell ref="A30:F30"/>
    <mergeCell ref="A31:F31"/>
    <mergeCell ref="A32:F32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61:D61"/>
    <mergeCell ref="A65:D65"/>
    <mergeCell ref="A46:F46"/>
    <mergeCell ref="A47:F47"/>
    <mergeCell ref="A48:F48"/>
    <mergeCell ref="A49:F49"/>
    <mergeCell ref="A58:D58"/>
    <mergeCell ref="A60:D60"/>
  </mergeCells>
  <dataValidations count="1">
    <dataValidation type="list" allowBlank="1" sqref="A3:A6" xr:uid="{4FD81ABD-2BDF-4A28-8CAB-317E78A115D3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7DAC-C776-4C60-9F78-E858C7E9C8BB}">
  <sheetPr>
    <tabColor rgb="FFFF0000"/>
  </sheetPr>
  <dimension ref="A1:G82"/>
  <sheetViews>
    <sheetView tabSelected="1" topLeftCell="A64" workbookViewId="0">
      <selection activeCell="F76" sqref="F76"/>
    </sheetView>
  </sheetViews>
  <sheetFormatPr defaultRowHeight="15" x14ac:dyDescent="0.25"/>
  <cols>
    <col min="1" max="1" width="41.42578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7" x14ac:dyDescent="0.25">
      <c r="A1" s="14">
        <v>44943</v>
      </c>
      <c r="B1" s="141" t="s">
        <v>14</v>
      </c>
      <c r="C1" s="132"/>
      <c r="D1" s="132"/>
      <c r="E1" s="132"/>
      <c r="F1" s="132"/>
      <c r="G1" s="133"/>
    </row>
    <row r="2" spans="1:7" x14ac:dyDescent="0.25">
      <c r="A2" s="15" t="s">
        <v>15</v>
      </c>
      <c r="B2" s="15" t="s">
        <v>16</v>
      </c>
      <c r="C2" s="147"/>
      <c r="D2" s="148"/>
      <c r="E2" s="148"/>
      <c r="F2" s="148"/>
      <c r="G2" s="148"/>
    </row>
    <row r="3" spans="1:7" x14ac:dyDescent="0.25">
      <c r="A3" s="17" t="s">
        <v>17</v>
      </c>
      <c r="B3" s="18">
        <v>299</v>
      </c>
      <c r="C3" s="143" t="s">
        <v>389</v>
      </c>
      <c r="D3" s="149"/>
      <c r="E3" s="149"/>
      <c r="F3" s="149"/>
      <c r="G3" s="149"/>
    </row>
    <row r="4" spans="1:7" x14ac:dyDescent="0.25">
      <c r="A4" s="17" t="s">
        <v>18</v>
      </c>
      <c r="B4" s="18">
        <v>6</v>
      </c>
      <c r="C4" s="143" t="s">
        <v>83</v>
      </c>
      <c r="D4" s="149"/>
      <c r="E4" s="149"/>
      <c r="F4" s="149"/>
      <c r="G4" s="149"/>
    </row>
    <row r="5" spans="1:7" x14ac:dyDescent="0.25">
      <c r="A5" s="17" t="s">
        <v>19</v>
      </c>
      <c r="B5" s="18">
        <v>14</v>
      </c>
      <c r="C5" s="146"/>
      <c r="D5" s="140"/>
      <c r="E5" s="140"/>
      <c r="F5" s="140"/>
      <c r="G5" s="140"/>
    </row>
    <row r="6" spans="1:7" x14ac:dyDescent="0.25">
      <c r="A6" s="17" t="s">
        <v>400</v>
      </c>
      <c r="B6" s="18">
        <v>89</v>
      </c>
      <c r="C6" s="146"/>
      <c r="D6" s="140"/>
      <c r="E6" s="140"/>
      <c r="F6" s="140"/>
      <c r="G6" s="140"/>
    </row>
    <row r="7" spans="1:7" x14ac:dyDescent="0.25">
      <c r="A7" s="19" t="s">
        <v>21</v>
      </c>
      <c r="B7" s="15">
        <f>SUM(B3:B6)</f>
        <v>408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45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1</v>
      </c>
      <c r="G11" s="21">
        <f>SUM(A11:F11)</f>
        <v>348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30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80</v>
      </c>
      <c r="B15" s="18">
        <v>0</v>
      </c>
      <c r="C15" s="18">
        <v>10</v>
      </c>
      <c r="D15" s="20">
        <v>0</v>
      </c>
      <c r="E15" s="28">
        <f>SUM(A15:D15)</f>
        <v>90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28.5" x14ac:dyDescent="0.25">
      <c r="A19" s="30" t="s">
        <v>39</v>
      </c>
      <c r="B19" s="42" t="s">
        <v>40</v>
      </c>
      <c r="C19" s="65" t="s">
        <v>41</v>
      </c>
      <c r="D19" s="33">
        <v>42103</v>
      </c>
      <c r="E19" s="18" t="s">
        <v>395</v>
      </c>
      <c r="F19" s="33" t="s">
        <v>396</v>
      </c>
      <c r="G19" s="36"/>
    </row>
    <row r="20" spans="1:7" ht="25.5" x14ac:dyDescent="0.25">
      <c r="A20" s="66" t="s">
        <v>42</v>
      </c>
      <c r="B20" s="67" t="s">
        <v>40</v>
      </c>
      <c r="C20" s="68" t="s">
        <v>41</v>
      </c>
      <c r="D20" s="52">
        <v>40455</v>
      </c>
      <c r="E20" s="53"/>
      <c r="F20" s="52"/>
      <c r="G20" s="36"/>
    </row>
    <row r="21" spans="1:7" ht="28.5" x14ac:dyDescent="0.25">
      <c r="A21" s="61" t="s">
        <v>92</v>
      </c>
      <c r="B21" s="62" t="s">
        <v>93</v>
      </c>
      <c r="C21" s="63" t="s">
        <v>91</v>
      </c>
      <c r="D21" s="64">
        <v>43497</v>
      </c>
      <c r="E21" s="60"/>
      <c r="F21" s="59"/>
      <c r="G21" s="36"/>
    </row>
    <row r="22" spans="1:7" ht="28.5" x14ac:dyDescent="0.25">
      <c r="A22" s="54" t="s">
        <v>45</v>
      </c>
      <c r="B22" s="55" t="s">
        <v>40</v>
      </c>
      <c r="C22" s="56" t="s">
        <v>44</v>
      </c>
      <c r="D22" s="57">
        <v>43237</v>
      </c>
      <c r="E22" s="58" t="s">
        <v>73</v>
      </c>
      <c r="F22" s="57" t="s">
        <v>72</v>
      </c>
      <c r="G22" s="36"/>
    </row>
    <row r="23" spans="1:7" x14ac:dyDescent="0.25">
      <c r="A23" s="38" t="s">
        <v>46</v>
      </c>
      <c r="B23" s="39">
        <f>COUNTIF(A19:A22,"&lt;&gt;")</f>
        <v>4</v>
      </c>
      <c r="C23" s="38"/>
      <c r="D23" s="38"/>
      <c r="E23" s="38"/>
      <c r="F23" s="40"/>
      <c r="G23" s="41"/>
    </row>
    <row r="24" spans="1:7" x14ac:dyDescent="0.25">
      <c r="A24" s="45"/>
      <c r="B24" s="45"/>
      <c r="C24" s="45"/>
      <c r="D24" s="45"/>
      <c r="E24" s="45"/>
      <c r="F24" s="45"/>
      <c r="G24" s="45"/>
    </row>
    <row r="25" spans="1:7" x14ac:dyDescent="0.25">
      <c r="A25" s="137" t="s">
        <v>47</v>
      </c>
      <c r="B25" s="138"/>
      <c r="C25" s="138"/>
      <c r="D25" s="138"/>
      <c r="E25" s="138"/>
      <c r="F25" s="138"/>
      <c r="G25" s="45"/>
    </row>
    <row r="26" spans="1:7" x14ac:dyDescent="0.25">
      <c r="A26" s="139" t="s">
        <v>48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49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50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51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52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53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54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55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56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57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58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59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60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61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62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63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64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65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66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67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68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69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70</v>
      </c>
      <c r="B48" s="132"/>
      <c r="C48" s="132"/>
      <c r="D48" s="132"/>
      <c r="E48" s="132"/>
      <c r="F48" s="133"/>
      <c r="G48" s="45"/>
    </row>
    <row r="49" spans="1:7" x14ac:dyDescent="0.25">
      <c r="A49" s="131" t="s">
        <v>71</v>
      </c>
      <c r="B49" s="132"/>
      <c r="C49" s="132"/>
      <c r="D49" s="132"/>
      <c r="E49" s="132"/>
      <c r="F49" s="133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1" spans="1:7" x14ac:dyDescent="0.25">
      <c r="A51" s="45"/>
      <c r="B51" s="45"/>
      <c r="C51" s="45"/>
      <c r="D51" s="45"/>
      <c r="E51" s="45"/>
      <c r="F51" s="45"/>
      <c r="G51" s="45"/>
    </row>
    <row r="52" spans="1:7" x14ac:dyDescent="0.25">
      <c r="A52" s="45"/>
      <c r="B52" s="45"/>
      <c r="C52" s="45"/>
      <c r="D52" s="45"/>
      <c r="E52" s="45"/>
      <c r="F52" s="45"/>
      <c r="G52" s="45"/>
    </row>
    <row r="53" spans="1:7" x14ac:dyDescent="0.25">
      <c r="A53" s="45"/>
      <c r="B53" s="45"/>
      <c r="C53" s="45"/>
      <c r="D53" s="45"/>
      <c r="E53" s="45"/>
      <c r="F53" s="45"/>
      <c r="G53" s="45"/>
    </row>
    <row r="54" spans="1:7" x14ac:dyDescent="0.25">
      <c r="A54" s="45"/>
      <c r="B54" s="45"/>
      <c r="C54" s="45"/>
      <c r="D54" s="45"/>
      <c r="E54" s="45"/>
      <c r="F54" s="45"/>
      <c r="G54" s="45"/>
    </row>
    <row r="55" spans="1:7" x14ac:dyDescent="0.25">
      <c r="A55" s="45"/>
      <c r="B55" s="45"/>
      <c r="C55" s="45"/>
      <c r="D55" s="45"/>
      <c r="E55" s="45"/>
      <c r="F55" s="45"/>
      <c r="G55" s="45"/>
    </row>
    <row r="56" spans="1:7" x14ac:dyDescent="0.25">
      <c r="A56" s="45"/>
      <c r="B56" s="45"/>
      <c r="C56" s="45"/>
      <c r="D56" s="45"/>
      <c r="E56" s="45"/>
      <c r="F56" s="45"/>
      <c r="G56" s="45"/>
    </row>
    <row r="57" spans="1:7" x14ac:dyDescent="0.25">
      <c r="A57" s="45"/>
      <c r="B57" s="45"/>
      <c r="C57" s="45"/>
      <c r="D57" s="45"/>
      <c r="E57" s="45"/>
      <c r="F57" s="45"/>
      <c r="G57" s="45"/>
    </row>
    <row r="58" spans="1:7" x14ac:dyDescent="0.25">
      <c r="A58" s="45"/>
      <c r="B58" s="45"/>
      <c r="C58" s="45"/>
      <c r="D58" s="45"/>
      <c r="E58" s="45"/>
      <c r="F58" s="45"/>
      <c r="G58" s="45"/>
    </row>
    <row r="59" spans="1:7" x14ac:dyDescent="0.25">
      <c r="A59" s="134" t="s">
        <v>0</v>
      </c>
      <c r="B59" s="134"/>
      <c r="C59" s="134"/>
      <c r="D59" s="134"/>
    </row>
    <row r="60" spans="1:7" x14ac:dyDescent="0.25">
      <c r="A60" s="44"/>
      <c r="B60" s="44"/>
      <c r="C60" s="44"/>
      <c r="D60" s="44"/>
    </row>
    <row r="61" spans="1:7" x14ac:dyDescent="0.25">
      <c r="A61" s="135" t="s">
        <v>7</v>
      </c>
      <c r="B61" s="135"/>
      <c r="C61" s="135"/>
      <c r="D61" s="135"/>
    </row>
    <row r="62" spans="1:7" x14ac:dyDescent="0.25">
      <c r="A62" s="129" t="s">
        <v>8</v>
      </c>
      <c r="B62" s="129"/>
      <c r="C62" s="129"/>
      <c r="D62" s="129"/>
    </row>
    <row r="66" spans="1:4" ht="15.75" thickBot="1" x14ac:dyDescent="0.3">
      <c r="A66" s="130"/>
      <c r="B66" s="130"/>
      <c r="C66" s="130"/>
      <c r="D66" s="130"/>
    </row>
    <row r="67" spans="1:4" ht="15.75" thickTop="1" x14ac:dyDescent="0.25">
      <c r="A67" s="9" t="s">
        <v>1</v>
      </c>
      <c r="B67" s="10" t="s">
        <v>5</v>
      </c>
      <c r="C67" s="10" t="s">
        <v>4</v>
      </c>
      <c r="D67" s="11" t="s">
        <v>6</v>
      </c>
    </row>
    <row r="68" spans="1:4" x14ac:dyDescent="0.25">
      <c r="A68" s="1" t="s">
        <v>137</v>
      </c>
      <c r="B68" s="2">
        <v>164</v>
      </c>
      <c r="C68" s="3">
        <v>136</v>
      </c>
      <c r="D68" s="4">
        <v>300</v>
      </c>
    </row>
    <row r="69" spans="1:4" x14ac:dyDescent="0.25">
      <c r="A69" s="1" t="s">
        <v>3</v>
      </c>
      <c r="B69" s="47" t="s">
        <v>74</v>
      </c>
      <c r="C69" s="3">
        <v>22</v>
      </c>
      <c r="D69" s="4">
        <v>25</v>
      </c>
    </row>
    <row r="70" spans="1:4" x14ac:dyDescent="0.25">
      <c r="A70" s="1" t="s">
        <v>138</v>
      </c>
      <c r="B70" s="47" t="s">
        <v>391</v>
      </c>
      <c r="C70" s="3">
        <v>90</v>
      </c>
      <c r="D70" s="4">
        <v>160</v>
      </c>
    </row>
    <row r="71" spans="1:4" x14ac:dyDescent="0.25">
      <c r="A71" s="1" t="s">
        <v>2</v>
      </c>
      <c r="B71" s="47" t="s">
        <v>392</v>
      </c>
      <c r="C71" s="3">
        <v>138</v>
      </c>
      <c r="D71" s="4">
        <v>200</v>
      </c>
    </row>
    <row r="72" spans="1:4" ht="15.75" thickBot="1" x14ac:dyDescent="0.3">
      <c r="A72" s="5" t="s">
        <v>10</v>
      </c>
      <c r="B72" s="48" t="s">
        <v>76</v>
      </c>
      <c r="C72" s="6">
        <v>60</v>
      </c>
      <c r="D72" s="7">
        <v>74</v>
      </c>
    </row>
    <row r="73" spans="1:4" ht="15.75" thickTop="1" x14ac:dyDescent="0.25"/>
    <row r="74" spans="1:4" x14ac:dyDescent="0.25">
      <c r="A74" s="13" t="s">
        <v>401</v>
      </c>
    </row>
    <row r="76" spans="1:4" x14ac:dyDescent="0.25">
      <c r="A76" s="12"/>
    </row>
    <row r="78" spans="1:4" x14ac:dyDescent="0.25">
      <c r="A78" s="165" t="s">
        <v>402</v>
      </c>
    </row>
    <row r="79" spans="1:4" x14ac:dyDescent="0.25">
      <c r="A79" s="166" t="s">
        <v>9</v>
      </c>
    </row>
    <row r="80" spans="1:4" x14ac:dyDescent="0.25">
      <c r="A80" s="165" t="s">
        <v>403</v>
      </c>
    </row>
    <row r="82" spans="1:1" x14ac:dyDescent="0.25">
      <c r="A82" s="167" t="s">
        <v>404</v>
      </c>
    </row>
  </sheetData>
  <mergeCells count="38">
    <mergeCell ref="A62:D62"/>
    <mergeCell ref="A66:D66"/>
    <mergeCell ref="A46:F46"/>
    <mergeCell ref="A47:F47"/>
    <mergeCell ref="A48:F48"/>
    <mergeCell ref="A49:F49"/>
    <mergeCell ref="A59:D59"/>
    <mergeCell ref="A61:D61"/>
    <mergeCell ref="A40:F40"/>
    <mergeCell ref="A41:F41"/>
    <mergeCell ref="A42:F42"/>
    <mergeCell ref="A43:F43"/>
    <mergeCell ref="A44:F44"/>
    <mergeCell ref="A45:F45"/>
    <mergeCell ref="A34:F34"/>
    <mergeCell ref="A35:F35"/>
    <mergeCell ref="A36:F36"/>
    <mergeCell ref="A37:F37"/>
    <mergeCell ref="A38:F38"/>
    <mergeCell ref="A39:F39"/>
    <mergeCell ref="A28:F28"/>
    <mergeCell ref="A29:F29"/>
    <mergeCell ref="A30:F30"/>
    <mergeCell ref="A31:F31"/>
    <mergeCell ref="A32:F32"/>
    <mergeCell ref="A33:F33"/>
    <mergeCell ref="A9:G9"/>
    <mergeCell ref="A13:E13"/>
    <mergeCell ref="A17:F17"/>
    <mergeCell ref="A25:F25"/>
    <mergeCell ref="A26:F26"/>
    <mergeCell ref="A27:F27"/>
    <mergeCell ref="B1:G1"/>
    <mergeCell ref="C2:G2"/>
    <mergeCell ref="C3:G3"/>
    <mergeCell ref="C4:G4"/>
    <mergeCell ref="C5:G5"/>
    <mergeCell ref="C6:G6"/>
  </mergeCells>
  <dataValidations count="1">
    <dataValidation type="list" allowBlank="1" sqref="A3:A6" xr:uid="{541EBBA2-A2CC-4EAD-ABA0-33C0768F5E20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G73"/>
  <sheetViews>
    <sheetView workbookViewId="0">
      <selection activeCell="G62" sqref="G62"/>
    </sheetView>
  </sheetViews>
  <sheetFormatPr defaultRowHeight="15" x14ac:dyDescent="0.25"/>
  <cols>
    <col min="1" max="1" width="46.85546875" customWidth="1"/>
    <col min="2" max="2" width="12.5703125" customWidth="1"/>
    <col min="3" max="3" width="21.85546875" customWidth="1"/>
    <col min="4" max="4" width="25.42578125" customWidth="1"/>
    <col min="5" max="5" width="16.85546875" customWidth="1"/>
    <col min="6" max="6" width="17.42578125" customWidth="1"/>
    <col min="7" max="7" width="21.85546875" customWidth="1"/>
  </cols>
  <sheetData>
    <row r="1" spans="1:7" x14ac:dyDescent="0.25">
      <c r="A1" s="14">
        <v>44629</v>
      </c>
      <c r="B1" s="141" t="s">
        <v>14</v>
      </c>
      <c r="C1" s="132"/>
      <c r="D1" s="132"/>
      <c r="E1" s="132"/>
      <c r="F1" s="132"/>
      <c r="G1" s="133"/>
    </row>
    <row r="2" spans="1:7" x14ac:dyDescent="0.25">
      <c r="A2" s="15" t="s">
        <v>15</v>
      </c>
      <c r="B2" s="15" t="s">
        <v>16</v>
      </c>
      <c r="C2" s="142"/>
      <c r="D2" s="138"/>
      <c r="E2" s="138"/>
      <c r="F2" s="138"/>
      <c r="G2" s="138"/>
    </row>
    <row r="3" spans="1:7" x14ac:dyDescent="0.25">
      <c r="A3" s="17" t="s">
        <v>17</v>
      </c>
      <c r="B3" s="18">
        <v>299</v>
      </c>
      <c r="C3" s="140" t="s">
        <v>82</v>
      </c>
      <c r="D3" s="138"/>
      <c r="E3" s="138"/>
      <c r="F3" s="138"/>
      <c r="G3" s="138"/>
    </row>
    <row r="4" spans="1:7" x14ac:dyDescent="0.25">
      <c r="A4" s="17" t="s">
        <v>18</v>
      </c>
      <c r="B4" s="18">
        <v>6</v>
      </c>
      <c r="C4" s="143" t="s">
        <v>83</v>
      </c>
      <c r="D4" s="144"/>
      <c r="E4" s="144"/>
      <c r="F4" s="144"/>
      <c r="G4" s="144"/>
    </row>
    <row r="5" spans="1:7" x14ac:dyDescent="0.25">
      <c r="A5" s="17" t="s">
        <v>19</v>
      </c>
      <c r="B5" s="18">
        <v>14</v>
      </c>
      <c r="C5" s="140"/>
      <c r="D5" s="138"/>
      <c r="E5" s="138"/>
      <c r="F5" s="138"/>
      <c r="G5" s="138"/>
    </row>
    <row r="6" spans="1:7" x14ac:dyDescent="0.25">
      <c r="A6" s="17" t="s">
        <v>20</v>
      </c>
      <c r="B6" s="18">
        <v>92</v>
      </c>
      <c r="C6" s="140"/>
      <c r="D6" s="138"/>
      <c r="E6" s="138"/>
      <c r="F6" s="138"/>
      <c r="G6" s="138"/>
    </row>
    <row r="7" spans="1:7" x14ac:dyDescent="0.25">
      <c r="A7" s="19" t="s">
        <v>21</v>
      </c>
      <c r="B7" s="15">
        <f>SUM(B3:B6)</f>
        <v>411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60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0</v>
      </c>
      <c r="G11" s="21">
        <f>SUM(A11:F11)</f>
        <v>347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60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82</v>
      </c>
      <c r="B15" s="18">
        <v>0</v>
      </c>
      <c r="C15" s="18">
        <v>10</v>
      </c>
      <c r="D15" s="20">
        <v>0</v>
      </c>
      <c r="E15" s="28">
        <f>SUM(A15:D15)</f>
        <v>92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25.5" x14ac:dyDescent="0.25">
      <c r="A19" s="30" t="s">
        <v>39</v>
      </c>
      <c r="B19" s="31" t="s">
        <v>40</v>
      </c>
      <c r="C19" s="32" t="s">
        <v>41</v>
      </c>
      <c r="D19" s="33">
        <v>42103</v>
      </c>
      <c r="E19" s="34"/>
      <c r="F19" s="35"/>
      <c r="G19" s="36"/>
    </row>
    <row r="20" spans="1:7" ht="25.5" x14ac:dyDescent="0.25">
      <c r="A20" s="37" t="s">
        <v>42</v>
      </c>
      <c r="B20" s="31" t="s">
        <v>40</v>
      </c>
      <c r="C20" s="32" t="s">
        <v>41</v>
      </c>
      <c r="D20" s="33">
        <v>40455</v>
      </c>
      <c r="E20" s="18"/>
      <c r="F20" s="33"/>
      <c r="G20" s="36"/>
    </row>
    <row r="21" spans="1:7" ht="28.5" x14ac:dyDescent="0.25">
      <c r="A21" s="30" t="s">
        <v>45</v>
      </c>
      <c r="B21" s="42" t="s">
        <v>40</v>
      </c>
      <c r="C21" s="43" t="s">
        <v>44</v>
      </c>
      <c r="D21" s="33">
        <v>43237</v>
      </c>
      <c r="E21" s="18" t="s">
        <v>73</v>
      </c>
      <c r="F21" s="33" t="s">
        <v>72</v>
      </c>
      <c r="G21" s="36"/>
    </row>
    <row r="22" spans="1:7" x14ac:dyDescent="0.25">
      <c r="A22" s="38" t="s">
        <v>46</v>
      </c>
      <c r="B22" s="39">
        <f>COUNTIF(A19:A21,"&lt;&gt;")</f>
        <v>3</v>
      </c>
      <c r="C22" s="38"/>
      <c r="D22" s="38"/>
      <c r="E22" s="38"/>
      <c r="F22" s="40"/>
      <c r="G22" s="41"/>
    </row>
    <row r="23" spans="1:7" x14ac:dyDescent="0.25">
      <c r="A23" s="45"/>
      <c r="B23" s="45"/>
      <c r="C23" s="45"/>
      <c r="D23" s="45"/>
      <c r="E23" s="45"/>
      <c r="F23" s="45"/>
      <c r="G23" s="45"/>
    </row>
    <row r="24" spans="1:7" x14ac:dyDescent="0.25">
      <c r="A24" s="137" t="s">
        <v>47</v>
      </c>
      <c r="B24" s="138"/>
      <c r="C24" s="138"/>
      <c r="D24" s="138"/>
      <c r="E24" s="138"/>
      <c r="F24" s="138"/>
      <c r="G24" s="45"/>
    </row>
    <row r="25" spans="1:7" x14ac:dyDescent="0.25">
      <c r="A25" s="139" t="s">
        <v>48</v>
      </c>
      <c r="B25" s="132"/>
      <c r="C25" s="132"/>
      <c r="D25" s="132"/>
      <c r="E25" s="132"/>
      <c r="F25" s="133"/>
      <c r="G25" s="45"/>
    </row>
    <row r="26" spans="1:7" x14ac:dyDescent="0.25">
      <c r="A26" s="131" t="s">
        <v>49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50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51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52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53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54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55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56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57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58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59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60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61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62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63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64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65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66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67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68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69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70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71</v>
      </c>
      <c r="B48" s="132"/>
      <c r="C48" s="132"/>
      <c r="D48" s="132"/>
      <c r="E48" s="132"/>
      <c r="F48" s="133"/>
      <c r="G48" s="45"/>
    </row>
    <row r="49" spans="1:7" x14ac:dyDescent="0.25">
      <c r="A49" s="45"/>
      <c r="B49" s="45"/>
      <c r="C49" s="45"/>
      <c r="D49" s="45"/>
      <c r="E49" s="45"/>
      <c r="F49" s="45"/>
      <c r="G49" s="45"/>
    </row>
    <row r="51" spans="1:7" x14ac:dyDescent="0.25">
      <c r="A51" s="134" t="s">
        <v>0</v>
      </c>
      <c r="B51" s="134"/>
      <c r="C51" s="134"/>
      <c r="D51" s="134"/>
    </row>
    <row r="52" spans="1:7" x14ac:dyDescent="0.25">
      <c r="A52" s="44"/>
      <c r="B52" s="44"/>
      <c r="C52" s="44"/>
      <c r="D52" s="44"/>
    </row>
    <row r="53" spans="1:7" x14ac:dyDescent="0.25">
      <c r="A53" s="135" t="s">
        <v>7</v>
      </c>
      <c r="B53" s="135"/>
      <c r="C53" s="135"/>
      <c r="D53" s="135"/>
    </row>
    <row r="54" spans="1:7" x14ac:dyDescent="0.25">
      <c r="A54" s="129" t="s">
        <v>8</v>
      </c>
      <c r="B54" s="129"/>
      <c r="C54" s="129"/>
      <c r="D54" s="129"/>
    </row>
    <row r="58" spans="1:7" ht="15.75" thickBot="1" x14ac:dyDescent="0.3">
      <c r="A58" s="130"/>
      <c r="B58" s="130"/>
      <c r="C58" s="130"/>
      <c r="D58" s="130"/>
    </row>
    <row r="59" spans="1:7" ht="15.75" thickTop="1" x14ac:dyDescent="0.25">
      <c r="A59" s="9" t="s">
        <v>1</v>
      </c>
      <c r="B59" s="10" t="s">
        <v>5</v>
      </c>
      <c r="C59" s="10" t="s">
        <v>4</v>
      </c>
      <c r="D59" s="11" t="s">
        <v>6</v>
      </c>
    </row>
    <row r="60" spans="1:7" x14ac:dyDescent="0.25">
      <c r="A60" s="1" t="s">
        <v>11</v>
      </c>
      <c r="B60" s="2">
        <v>166</v>
      </c>
      <c r="C60" s="3">
        <v>134</v>
      </c>
      <c r="D60" s="4">
        <v>300</v>
      </c>
    </row>
    <row r="61" spans="1:7" x14ac:dyDescent="0.25">
      <c r="A61" s="1" t="s">
        <v>3</v>
      </c>
      <c r="B61" s="47" t="s">
        <v>74</v>
      </c>
      <c r="C61" s="3">
        <v>22</v>
      </c>
      <c r="D61" s="4">
        <v>25</v>
      </c>
    </row>
    <row r="62" spans="1:7" x14ac:dyDescent="0.25">
      <c r="A62" s="1" t="s">
        <v>12</v>
      </c>
      <c r="B62" s="47" t="s">
        <v>79</v>
      </c>
      <c r="C62" s="3">
        <v>91</v>
      </c>
      <c r="D62" s="4">
        <v>160</v>
      </c>
    </row>
    <row r="63" spans="1:7" x14ac:dyDescent="0.25">
      <c r="A63" s="1" t="s">
        <v>2</v>
      </c>
      <c r="B63" s="47" t="s">
        <v>75</v>
      </c>
      <c r="C63" s="3">
        <v>137</v>
      </c>
      <c r="D63" s="4">
        <v>200</v>
      </c>
    </row>
    <row r="64" spans="1:7" ht="15.75" thickBot="1" x14ac:dyDescent="0.3">
      <c r="A64" s="5" t="s">
        <v>10</v>
      </c>
      <c r="B64" s="48" t="s">
        <v>76</v>
      </c>
      <c r="C64" s="6">
        <v>60</v>
      </c>
      <c r="D64" s="7">
        <v>74</v>
      </c>
    </row>
    <row r="65" spans="1:1" ht="15.75" thickTop="1" x14ac:dyDescent="0.25"/>
    <row r="66" spans="1:1" x14ac:dyDescent="0.25">
      <c r="A66" s="13" t="s">
        <v>85</v>
      </c>
    </row>
    <row r="68" spans="1:1" x14ac:dyDescent="0.25">
      <c r="A68" s="12" t="s">
        <v>13</v>
      </c>
    </row>
    <row r="70" spans="1:1" x14ac:dyDescent="0.25">
      <c r="A70" s="8"/>
    </row>
    <row r="72" spans="1:1" x14ac:dyDescent="0.25">
      <c r="A72" t="s">
        <v>84</v>
      </c>
    </row>
    <row r="73" spans="1:1" x14ac:dyDescent="0.25">
      <c r="A73" s="8" t="s">
        <v>9</v>
      </c>
    </row>
  </sheetData>
  <mergeCells count="38">
    <mergeCell ref="C6:G6"/>
    <mergeCell ref="B1:G1"/>
    <mergeCell ref="C2:G2"/>
    <mergeCell ref="C3:G3"/>
    <mergeCell ref="C4:G4"/>
    <mergeCell ref="C5:G5"/>
    <mergeCell ref="A32:F32"/>
    <mergeCell ref="A9:G9"/>
    <mergeCell ref="A13:E13"/>
    <mergeCell ref="A17:F17"/>
    <mergeCell ref="A24:F24"/>
    <mergeCell ref="A25:F25"/>
    <mergeCell ref="A26:F26"/>
    <mergeCell ref="A27:F27"/>
    <mergeCell ref="A28:F28"/>
    <mergeCell ref="A29:F29"/>
    <mergeCell ref="A30:F30"/>
    <mergeCell ref="A31:F31"/>
    <mergeCell ref="A44:F44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54:D54"/>
    <mergeCell ref="A58:D58"/>
    <mergeCell ref="A45:F45"/>
    <mergeCell ref="A46:F46"/>
    <mergeCell ref="A47:F47"/>
    <mergeCell ref="A48:F48"/>
    <mergeCell ref="A51:D51"/>
    <mergeCell ref="A53:D53"/>
  </mergeCells>
  <dataValidations count="1">
    <dataValidation type="list" allowBlank="1" sqref="A3:A6" xr:uid="{00000000-0002-0000-0D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G73"/>
  <sheetViews>
    <sheetView topLeftCell="A49" workbookViewId="0">
      <selection activeCell="G62" sqref="G62"/>
    </sheetView>
  </sheetViews>
  <sheetFormatPr defaultRowHeight="15" x14ac:dyDescent="0.25"/>
  <cols>
    <col min="1" max="1" width="46.85546875" customWidth="1"/>
    <col min="2" max="2" width="12.5703125" customWidth="1"/>
    <col min="3" max="3" width="17.140625" customWidth="1"/>
    <col min="4" max="4" width="25.42578125" customWidth="1"/>
    <col min="5" max="5" width="14" customWidth="1"/>
    <col min="6" max="6" width="17.42578125" customWidth="1"/>
    <col min="7" max="7" width="21.85546875" customWidth="1"/>
  </cols>
  <sheetData>
    <row r="1" spans="1:7" x14ac:dyDescent="0.25">
      <c r="A1" s="14">
        <v>44663</v>
      </c>
      <c r="B1" s="141" t="s">
        <v>14</v>
      </c>
      <c r="C1" s="132"/>
      <c r="D1" s="132"/>
      <c r="E1" s="132"/>
      <c r="F1" s="132"/>
      <c r="G1" s="133"/>
    </row>
    <row r="2" spans="1:7" x14ac:dyDescent="0.25">
      <c r="A2" s="15" t="s">
        <v>15</v>
      </c>
      <c r="B2" s="15" t="s">
        <v>16</v>
      </c>
      <c r="C2" s="142"/>
      <c r="D2" s="138"/>
      <c r="E2" s="138"/>
      <c r="F2" s="138"/>
      <c r="G2" s="138"/>
    </row>
    <row r="3" spans="1:7" x14ac:dyDescent="0.25">
      <c r="A3" s="17" t="s">
        <v>17</v>
      </c>
      <c r="B3" s="18">
        <v>303</v>
      </c>
      <c r="C3" s="140" t="s">
        <v>88</v>
      </c>
      <c r="D3" s="138"/>
      <c r="E3" s="138"/>
      <c r="F3" s="138"/>
      <c r="G3" s="138"/>
    </row>
    <row r="4" spans="1:7" x14ac:dyDescent="0.25">
      <c r="A4" s="17" t="s">
        <v>18</v>
      </c>
      <c r="B4" s="18">
        <v>6</v>
      </c>
      <c r="C4" s="143" t="s">
        <v>83</v>
      </c>
      <c r="D4" s="144"/>
      <c r="E4" s="144"/>
      <c r="F4" s="144"/>
      <c r="G4" s="144"/>
    </row>
    <row r="5" spans="1:7" x14ac:dyDescent="0.25">
      <c r="A5" s="17" t="s">
        <v>19</v>
      </c>
      <c r="B5" s="18">
        <v>14</v>
      </c>
      <c r="C5" s="140"/>
      <c r="D5" s="138"/>
      <c r="E5" s="138"/>
      <c r="F5" s="138"/>
      <c r="G5" s="138"/>
    </row>
    <row r="6" spans="1:7" x14ac:dyDescent="0.25">
      <c r="A6" s="17" t="s">
        <v>20</v>
      </c>
      <c r="B6" s="18">
        <v>92</v>
      </c>
      <c r="C6" s="140"/>
      <c r="D6" s="138"/>
      <c r="E6" s="138"/>
      <c r="F6" s="138"/>
      <c r="G6" s="138"/>
    </row>
    <row r="7" spans="1:7" x14ac:dyDescent="0.25">
      <c r="A7" s="19" t="s">
        <v>21</v>
      </c>
      <c r="B7" s="15">
        <f>SUM(B3:B6)</f>
        <v>415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75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0</v>
      </c>
      <c r="G11" s="21">
        <f>SUM(A11:F11)</f>
        <v>347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60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82</v>
      </c>
      <c r="B15" s="18">
        <v>0</v>
      </c>
      <c r="C15" s="18">
        <v>10</v>
      </c>
      <c r="D15" s="20">
        <v>0</v>
      </c>
      <c r="E15" s="28">
        <f>SUM(A15:D15)</f>
        <v>92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25.5" x14ac:dyDescent="0.25">
      <c r="A19" s="30" t="s">
        <v>39</v>
      </c>
      <c r="B19" s="31" t="s">
        <v>40</v>
      </c>
      <c r="C19" s="32" t="s">
        <v>41</v>
      </c>
      <c r="D19" s="33">
        <v>42103</v>
      </c>
      <c r="E19" s="34"/>
      <c r="F19" s="35"/>
      <c r="G19" s="36"/>
    </row>
    <row r="20" spans="1:7" ht="25.5" x14ac:dyDescent="0.25">
      <c r="A20" s="49" t="s">
        <v>42</v>
      </c>
      <c r="B20" s="50" t="s">
        <v>40</v>
      </c>
      <c r="C20" s="51" t="s">
        <v>41</v>
      </c>
      <c r="D20" s="52">
        <v>40455</v>
      </c>
      <c r="E20" s="53"/>
      <c r="F20" s="52"/>
      <c r="G20" s="36"/>
    </row>
    <row r="21" spans="1:7" ht="28.5" x14ac:dyDescent="0.25">
      <c r="A21" s="54" t="s">
        <v>45</v>
      </c>
      <c r="B21" s="55" t="s">
        <v>40</v>
      </c>
      <c r="C21" s="56" t="s">
        <v>44</v>
      </c>
      <c r="D21" s="57">
        <v>43237</v>
      </c>
      <c r="E21" s="58" t="s">
        <v>73</v>
      </c>
      <c r="F21" s="57" t="s">
        <v>72</v>
      </c>
      <c r="G21" s="36"/>
    </row>
    <row r="22" spans="1:7" x14ac:dyDescent="0.25">
      <c r="A22" s="38" t="s">
        <v>46</v>
      </c>
      <c r="B22" s="39">
        <f>COUNTIF(A19:A21,"&lt;&gt;")</f>
        <v>3</v>
      </c>
      <c r="C22" s="38"/>
      <c r="D22" s="38"/>
      <c r="E22" s="38"/>
      <c r="F22" s="40"/>
      <c r="G22" s="41"/>
    </row>
    <row r="23" spans="1:7" x14ac:dyDescent="0.25">
      <c r="A23" s="45"/>
      <c r="B23" s="45"/>
      <c r="C23" s="45"/>
      <c r="D23" s="45"/>
      <c r="E23" s="45"/>
      <c r="F23" s="45"/>
      <c r="G23" s="45"/>
    </row>
    <row r="24" spans="1:7" x14ac:dyDescent="0.25">
      <c r="A24" s="137" t="s">
        <v>47</v>
      </c>
      <c r="B24" s="138"/>
      <c r="C24" s="138"/>
      <c r="D24" s="138"/>
      <c r="E24" s="138"/>
      <c r="F24" s="138"/>
      <c r="G24" s="45"/>
    </row>
    <row r="25" spans="1:7" x14ac:dyDescent="0.25">
      <c r="A25" s="139" t="s">
        <v>48</v>
      </c>
      <c r="B25" s="132"/>
      <c r="C25" s="132"/>
      <c r="D25" s="132"/>
      <c r="E25" s="132"/>
      <c r="F25" s="133"/>
      <c r="G25" s="45"/>
    </row>
    <row r="26" spans="1:7" x14ac:dyDescent="0.25">
      <c r="A26" s="131" t="s">
        <v>49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50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51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52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53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54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55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56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57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58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59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60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61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62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63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64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65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66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67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68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69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70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71</v>
      </c>
      <c r="B48" s="132"/>
      <c r="C48" s="132"/>
      <c r="D48" s="132"/>
      <c r="E48" s="132"/>
      <c r="F48" s="133"/>
      <c r="G48" s="45"/>
    </row>
    <row r="49" spans="1:7" x14ac:dyDescent="0.25">
      <c r="A49" s="45"/>
      <c r="B49" s="45"/>
      <c r="C49" s="45"/>
      <c r="D49" s="45"/>
      <c r="E49" s="45"/>
      <c r="F49" s="45"/>
      <c r="G49" s="45"/>
    </row>
    <row r="51" spans="1:7" x14ac:dyDescent="0.25">
      <c r="A51" s="134" t="s">
        <v>0</v>
      </c>
      <c r="B51" s="134"/>
      <c r="C51" s="134"/>
      <c r="D51" s="134"/>
    </row>
    <row r="52" spans="1:7" x14ac:dyDescent="0.25">
      <c r="A52" s="44"/>
      <c r="B52" s="44"/>
      <c r="C52" s="44"/>
      <c r="D52" s="44"/>
    </row>
    <row r="53" spans="1:7" x14ac:dyDescent="0.25">
      <c r="A53" s="135" t="s">
        <v>7</v>
      </c>
      <c r="B53" s="135"/>
      <c r="C53" s="135"/>
      <c r="D53" s="135"/>
    </row>
    <row r="54" spans="1:7" x14ac:dyDescent="0.25">
      <c r="A54" s="129" t="s">
        <v>8</v>
      </c>
      <c r="B54" s="129"/>
      <c r="C54" s="129"/>
      <c r="D54" s="129"/>
    </row>
    <row r="58" spans="1:7" ht="15.75" thickBot="1" x14ac:dyDescent="0.3">
      <c r="A58" s="130"/>
      <c r="B58" s="130"/>
      <c r="C58" s="130"/>
      <c r="D58" s="130"/>
    </row>
    <row r="59" spans="1:7" ht="15.75" thickTop="1" x14ac:dyDescent="0.25">
      <c r="A59" s="9" t="s">
        <v>1</v>
      </c>
      <c r="B59" s="10" t="s">
        <v>5</v>
      </c>
      <c r="C59" s="10" t="s">
        <v>4</v>
      </c>
      <c r="D59" s="11" t="s">
        <v>6</v>
      </c>
    </row>
    <row r="60" spans="1:7" x14ac:dyDescent="0.25">
      <c r="A60" s="1" t="s">
        <v>11</v>
      </c>
      <c r="B60" s="2">
        <v>166</v>
      </c>
      <c r="C60" s="3">
        <v>134</v>
      </c>
      <c r="D60" s="4">
        <v>300</v>
      </c>
    </row>
    <row r="61" spans="1:7" x14ac:dyDescent="0.25">
      <c r="A61" s="1" t="s">
        <v>3</v>
      </c>
      <c r="B61" s="47" t="s">
        <v>74</v>
      </c>
      <c r="C61" s="3">
        <v>22</v>
      </c>
      <c r="D61" s="4">
        <v>25</v>
      </c>
    </row>
    <row r="62" spans="1:7" x14ac:dyDescent="0.25">
      <c r="A62" s="1" t="s">
        <v>12</v>
      </c>
      <c r="B62" s="47" t="s">
        <v>79</v>
      </c>
      <c r="C62" s="3">
        <v>91</v>
      </c>
      <c r="D62" s="4">
        <v>160</v>
      </c>
    </row>
    <row r="63" spans="1:7" x14ac:dyDescent="0.25">
      <c r="A63" s="1" t="s">
        <v>2</v>
      </c>
      <c r="B63" s="47" t="s">
        <v>75</v>
      </c>
      <c r="C63" s="3">
        <v>137</v>
      </c>
      <c r="D63" s="4">
        <v>200</v>
      </c>
    </row>
    <row r="64" spans="1:7" ht="15.75" thickBot="1" x14ac:dyDescent="0.3">
      <c r="A64" s="5" t="s">
        <v>10</v>
      </c>
      <c r="B64" s="48" t="s">
        <v>76</v>
      </c>
      <c r="C64" s="6">
        <v>60</v>
      </c>
      <c r="D64" s="7">
        <v>74</v>
      </c>
    </row>
    <row r="65" spans="1:1" ht="15.75" thickTop="1" x14ac:dyDescent="0.25"/>
    <row r="66" spans="1:1" x14ac:dyDescent="0.25">
      <c r="A66" s="13" t="s">
        <v>86</v>
      </c>
    </row>
    <row r="68" spans="1:1" x14ac:dyDescent="0.25">
      <c r="A68" s="12" t="s">
        <v>13</v>
      </c>
    </row>
    <row r="70" spans="1:1" x14ac:dyDescent="0.25">
      <c r="A70" s="8"/>
    </row>
    <row r="72" spans="1:1" x14ac:dyDescent="0.25">
      <c r="A72" t="s">
        <v>87</v>
      </c>
    </row>
    <row r="73" spans="1:1" x14ac:dyDescent="0.25">
      <c r="A73" s="8" t="s">
        <v>9</v>
      </c>
    </row>
  </sheetData>
  <mergeCells count="38">
    <mergeCell ref="A54:D54"/>
    <mergeCell ref="A58:D58"/>
    <mergeCell ref="A45:F45"/>
    <mergeCell ref="A46:F46"/>
    <mergeCell ref="A47:F47"/>
    <mergeCell ref="A48:F48"/>
    <mergeCell ref="A51:D51"/>
    <mergeCell ref="A53:D53"/>
    <mergeCell ref="A44:F44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32:F32"/>
    <mergeCell ref="A9:G9"/>
    <mergeCell ref="A13:E13"/>
    <mergeCell ref="A17:F17"/>
    <mergeCell ref="A24:F24"/>
    <mergeCell ref="A25:F25"/>
    <mergeCell ref="A26:F26"/>
    <mergeCell ref="A27:F27"/>
    <mergeCell ref="A28:F28"/>
    <mergeCell ref="A29:F29"/>
    <mergeCell ref="A30:F30"/>
    <mergeCell ref="A31:F31"/>
    <mergeCell ref="C6:G6"/>
    <mergeCell ref="B1:G1"/>
    <mergeCell ref="C2:G2"/>
    <mergeCell ref="C3:G3"/>
    <mergeCell ref="C4:G4"/>
    <mergeCell ref="C5:G5"/>
  </mergeCells>
  <dataValidations count="1">
    <dataValidation type="list" allowBlank="1" sqref="A3:A6" xr:uid="{00000000-0002-0000-0E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G74"/>
  <sheetViews>
    <sheetView workbookViewId="0">
      <selection activeCell="I12" sqref="I12"/>
    </sheetView>
  </sheetViews>
  <sheetFormatPr defaultRowHeight="15" x14ac:dyDescent="0.25"/>
  <cols>
    <col min="1" max="1" width="46.85546875" customWidth="1"/>
    <col min="2" max="2" width="12.5703125" customWidth="1"/>
    <col min="3" max="3" width="17.140625" customWidth="1"/>
    <col min="4" max="4" width="25.42578125" customWidth="1"/>
    <col min="5" max="5" width="14" customWidth="1"/>
    <col min="6" max="6" width="17.42578125" customWidth="1"/>
    <col min="7" max="7" width="28.7109375" customWidth="1"/>
  </cols>
  <sheetData>
    <row r="1" spans="1:7" x14ac:dyDescent="0.25">
      <c r="A1" s="14">
        <v>44692</v>
      </c>
      <c r="B1" s="141" t="s">
        <v>14</v>
      </c>
      <c r="C1" s="132"/>
      <c r="D1" s="132"/>
      <c r="E1" s="132"/>
      <c r="F1" s="132"/>
      <c r="G1" s="133"/>
    </row>
    <row r="2" spans="1:7" x14ac:dyDescent="0.25">
      <c r="A2" s="15" t="s">
        <v>15</v>
      </c>
      <c r="B2" s="15" t="s">
        <v>16</v>
      </c>
      <c r="C2" s="142"/>
      <c r="D2" s="138"/>
      <c r="E2" s="138"/>
      <c r="F2" s="138"/>
      <c r="G2" s="138"/>
    </row>
    <row r="3" spans="1:7" x14ac:dyDescent="0.25">
      <c r="A3" s="17" t="s">
        <v>17</v>
      </c>
      <c r="B3" s="18">
        <v>303</v>
      </c>
      <c r="C3" s="143" t="s">
        <v>88</v>
      </c>
      <c r="D3" s="144"/>
      <c r="E3" s="144"/>
      <c r="F3" s="144"/>
      <c r="G3" s="144"/>
    </row>
    <row r="4" spans="1:7" x14ac:dyDescent="0.25">
      <c r="A4" s="17" t="s">
        <v>18</v>
      </c>
      <c r="B4" s="18">
        <v>6</v>
      </c>
      <c r="C4" s="143" t="s">
        <v>83</v>
      </c>
      <c r="D4" s="144"/>
      <c r="E4" s="144"/>
      <c r="F4" s="144"/>
      <c r="G4" s="144"/>
    </row>
    <row r="5" spans="1:7" x14ac:dyDescent="0.25">
      <c r="A5" s="17" t="s">
        <v>19</v>
      </c>
      <c r="B5" s="18">
        <v>14</v>
      </c>
      <c r="C5" s="140"/>
      <c r="D5" s="138"/>
      <c r="E5" s="138"/>
      <c r="F5" s="138"/>
      <c r="G5" s="138"/>
    </row>
    <row r="6" spans="1:7" x14ac:dyDescent="0.25">
      <c r="A6" s="17" t="s">
        <v>94</v>
      </c>
      <c r="B6" s="18">
        <v>104</v>
      </c>
      <c r="C6" s="140"/>
      <c r="D6" s="138"/>
      <c r="E6" s="138"/>
      <c r="F6" s="138"/>
      <c r="G6" s="138"/>
    </row>
    <row r="7" spans="1:7" x14ac:dyDescent="0.25">
      <c r="A7" s="19" t="s">
        <v>21</v>
      </c>
      <c r="B7" s="15">
        <f>SUM(B3:B6)</f>
        <v>427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75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0</v>
      </c>
      <c r="G11" s="21">
        <f>SUM(A11:F11)</f>
        <v>347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60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82</v>
      </c>
      <c r="B15" s="18">
        <v>0</v>
      </c>
      <c r="C15" s="18">
        <v>10</v>
      </c>
      <c r="D15" s="20">
        <v>0</v>
      </c>
      <c r="E15" s="28">
        <f>SUM(A15:D15)</f>
        <v>92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25.5" x14ac:dyDescent="0.25">
      <c r="A19" s="30" t="s">
        <v>39</v>
      </c>
      <c r="B19" s="31" t="s">
        <v>40</v>
      </c>
      <c r="C19" s="32" t="s">
        <v>41</v>
      </c>
      <c r="D19" s="33">
        <v>42103</v>
      </c>
      <c r="E19" s="34"/>
      <c r="F19" s="35"/>
      <c r="G19" s="36"/>
    </row>
    <row r="20" spans="1:7" ht="25.5" x14ac:dyDescent="0.25">
      <c r="A20" s="49" t="s">
        <v>42</v>
      </c>
      <c r="B20" s="50" t="s">
        <v>40</v>
      </c>
      <c r="C20" s="51" t="s">
        <v>41</v>
      </c>
      <c r="D20" s="52">
        <v>40455</v>
      </c>
      <c r="E20" s="53"/>
      <c r="F20" s="52"/>
      <c r="G20" s="36"/>
    </row>
    <row r="21" spans="1:7" ht="28.5" x14ac:dyDescent="0.25">
      <c r="A21" s="61" t="s">
        <v>92</v>
      </c>
      <c r="B21" s="62" t="s">
        <v>93</v>
      </c>
      <c r="C21" s="63" t="s">
        <v>91</v>
      </c>
      <c r="D21" s="64">
        <v>43497</v>
      </c>
      <c r="E21" s="60"/>
      <c r="F21" s="59"/>
      <c r="G21" s="36"/>
    </row>
    <row r="22" spans="1:7" ht="28.5" x14ac:dyDescent="0.25">
      <c r="A22" s="54" t="s">
        <v>45</v>
      </c>
      <c r="B22" s="55" t="s">
        <v>40</v>
      </c>
      <c r="C22" s="56" t="s">
        <v>44</v>
      </c>
      <c r="D22" s="57">
        <v>43237</v>
      </c>
      <c r="E22" s="58" t="s">
        <v>73</v>
      </c>
      <c r="F22" s="57" t="s">
        <v>72</v>
      </c>
      <c r="G22" s="36"/>
    </row>
    <row r="23" spans="1:7" x14ac:dyDescent="0.25">
      <c r="A23" s="38" t="s">
        <v>46</v>
      </c>
      <c r="B23" s="39">
        <f>COUNTIF(A19:A22,"&lt;&gt;")</f>
        <v>4</v>
      </c>
      <c r="C23" s="38"/>
      <c r="D23" s="38"/>
      <c r="E23" s="38"/>
      <c r="F23" s="40"/>
      <c r="G23" s="41"/>
    </row>
    <row r="24" spans="1:7" x14ac:dyDescent="0.25">
      <c r="A24" s="45"/>
      <c r="B24" s="45"/>
      <c r="C24" s="45"/>
      <c r="D24" s="45"/>
      <c r="E24" s="45"/>
      <c r="F24" s="45"/>
      <c r="G24" s="45"/>
    </row>
    <row r="25" spans="1:7" x14ac:dyDescent="0.25">
      <c r="A25" s="137" t="s">
        <v>47</v>
      </c>
      <c r="B25" s="138"/>
      <c r="C25" s="138"/>
      <c r="D25" s="138"/>
      <c r="E25" s="138"/>
      <c r="F25" s="138"/>
      <c r="G25" s="45"/>
    </row>
    <row r="26" spans="1:7" x14ac:dyDescent="0.25">
      <c r="A26" s="139" t="s">
        <v>48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49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50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51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52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53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54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55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56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57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58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59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60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61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62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63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64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65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66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67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68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69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70</v>
      </c>
      <c r="B48" s="132"/>
      <c r="C48" s="132"/>
      <c r="D48" s="132"/>
      <c r="E48" s="132"/>
      <c r="F48" s="133"/>
      <c r="G48" s="45"/>
    </row>
    <row r="49" spans="1:7" x14ac:dyDescent="0.25">
      <c r="A49" s="131" t="s">
        <v>71</v>
      </c>
      <c r="B49" s="132"/>
      <c r="C49" s="132"/>
      <c r="D49" s="132"/>
      <c r="E49" s="132"/>
      <c r="F49" s="133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2" spans="1:7" x14ac:dyDescent="0.25">
      <c r="A52" s="134" t="s">
        <v>0</v>
      </c>
      <c r="B52" s="134"/>
      <c r="C52" s="134"/>
      <c r="D52" s="134"/>
    </row>
    <row r="53" spans="1:7" x14ac:dyDescent="0.25">
      <c r="A53" s="44"/>
      <c r="B53" s="44"/>
      <c r="C53" s="44"/>
      <c r="D53" s="44"/>
    </row>
    <row r="54" spans="1:7" x14ac:dyDescent="0.25">
      <c r="A54" s="135" t="s">
        <v>7</v>
      </c>
      <c r="B54" s="135"/>
      <c r="C54" s="135"/>
      <c r="D54" s="135"/>
    </row>
    <row r="55" spans="1:7" x14ac:dyDescent="0.25">
      <c r="A55" s="129" t="s">
        <v>8</v>
      </c>
      <c r="B55" s="129"/>
      <c r="C55" s="129"/>
      <c r="D55" s="129"/>
    </row>
    <row r="59" spans="1:7" ht="15.75" thickBot="1" x14ac:dyDescent="0.3">
      <c r="A59" s="130"/>
      <c r="B59" s="130"/>
      <c r="C59" s="130"/>
      <c r="D59" s="130"/>
    </row>
    <row r="60" spans="1:7" ht="15.75" thickTop="1" x14ac:dyDescent="0.25">
      <c r="A60" s="9" t="s">
        <v>1</v>
      </c>
      <c r="B60" s="10" t="s">
        <v>5</v>
      </c>
      <c r="C60" s="10" t="s">
        <v>4</v>
      </c>
      <c r="D60" s="11" t="s">
        <v>6</v>
      </c>
    </row>
    <row r="61" spans="1:7" x14ac:dyDescent="0.25">
      <c r="A61" s="1" t="s">
        <v>11</v>
      </c>
      <c r="B61" s="2">
        <v>168</v>
      </c>
      <c r="C61" s="3">
        <v>132</v>
      </c>
      <c r="D61" s="4">
        <v>300</v>
      </c>
    </row>
    <row r="62" spans="1:7" x14ac:dyDescent="0.25">
      <c r="A62" s="1" t="s">
        <v>3</v>
      </c>
      <c r="B62" s="47" t="s">
        <v>74</v>
      </c>
      <c r="C62" s="3">
        <v>22</v>
      </c>
      <c r="D62" s="4">
        <v>25</v>
      </c>
    </row>
    <row r="63" spans="1:7" x14ac:dyDescent="0.25">
      <c r="A63" s="1" t="s">
        <v>12</v>
      </c>
      <c r="B63" s="47" t="s">
        <v>79</v>
      </c>
      <c r="C63" s="3">
        <v>91</v>
      </c>
      <c r="D63" s="4">
        <v>160</v>
      </c>
    </row>
    <row r="64" spans="1:7" x14ac:dyDescent="0.25">
      <c r="A64" s="1" t="s">
        <v>2</v>
      </c>
      <c r="B64" s="47" t="s">
        <v>75</v>
      </c>
      <c r="C64" s="3">
        <v>137</v>
      </c>
      <c r="D64" s="4">
        <v>200</v>
      </c>
    </row>
    <row r="65" spans="1:4" ht="15.75" thickBot="1" x14ac:dyDescent="0.3">
      <c r="A65" s="5" t="s">
        <v>10</v>
      </c>
      <c r="B65" s="48" t="s">
        <v>76</v>
      </c>
      <c r="C65" s="6">
        <v>60</v>
      </c>
      <c r="D65" s="7">
        <v>74</v>
      </c>
    </row>
    <row r="66" spans="1:4" ht="15.75" thickTop="1" x14ac:dyDescent="0.25"/>
    <row r="67" spans="1:4" x14ac:dyDescent="0.25">
      <c r="A67" s="13" t="s">
        <v>89</v>
      </c>
    </row>
    <row r="69" spans="1:4" x14ac:dyDescent="0.25">
      <c r="A69" s="12" t="s">
        <v>13</v>
      </c>
    </row>
    <row r="71" spans="1:4" x14ac:dyDescent="0.25">
      <c r="A71" s="8"/>
    </row>
    <row r="73" spans="1:4" x14ac:dyDescent="0.25">
      <c r="A73" t="s">
        <v>90</v>
      </c>
    </row>
    <row r="74" spans="1:4" x14ac:dyDescent="0.25">
      <c r="A74" s="8" t="s">
        <v>9</v>
      </c>
    </row>
  </sheetData>
  <mergeCells count="38">
    <mergeCell ref="C6:G6"/>
    <mergeCell ref="B1:G1"/>
    <mergeCell ref="C2:G2"/>
    <mergeCell ref="C3:G3"/>
    <mergeCell ref="C4:G4"/>
    <mergeCell ref="C5:G5"/>
    <mergeCell ref="A33:F33"/>
    <mergeCell ref="A9:G9"/>
    <mergeCell ref="A13:E13"/>
    <mergeCell ref="A17:F17"/>
    <mergeCell ref="A25:F25"/>
    <mergeCell ref="A26:F26"/>
    <mergeCell ref="A27:F27"/>
    <mergeCell ref="A28:F28"/>
    <mergeCell ref="A29:F29"/>
    <mergeCell ref="A30:F30"/>
    <mergeCell ref="A31:F31"/>
    <mergeCell ref="A32:F32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55:D55"/>
    <mergeCell ref="A59:D59"/>
    <mergeCell ref="A46:F46"/>
    <mergeCell ref="A47:F47"/>
    <mergeCell ref="A48:F48"/>
    <mergeCell ref="A49:F49"/>
    <mergeCell ref="A52:D52"/>
    <mergeCell ref="A54:D54"/>
  </mergeCells>
  <dataValidations count="1">
    <dataValidation type="list" allowBlank="1" sqref="A3:A6" xr:uid="{00000000-0002-0000-0F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2CF0-FCD5-415B-8AE6-C44D6FE163F9}">
  <sheetPr>
    <tabColor rgb="FFFF0000"/>
  </sheetPr>
  <dimension ref="A1:G74"/>
  <sheetViews>
    <sheetView topLeftCell="A52" workbookViewId="0">
      <selection activeCell="F64" sqref="F64"/>
    </sheetView>
  </sheetViews>
  <sheetFormatPr defaultRowHeight="15" x14ac:dyDescent="0.25"/>
  <cols>
    <col min="1" max="1" width="46.85546875" customWidth="1"/>
    <col min="2" max="2" width="12.5703125" customWidth="1"/>
    <col min="3" max="3" width="17.140625" customWidth="1"/>
    <col min="4" max="4" width="25.42578125" customWidth="1"/>
    <col min="5" max="5" width="14" customWidth="1"/>
    <col min="6" max="6" width="17.42578125" customWidth="1"/>
    <col min="7" max="7" width="28.7109375" customWidth="1"/>
  </cols>
  <sheetData>
    <row r="1" spans="1:7" x14ac:dyDescent="0.25">
      <c r="A1" s="14">
        <v>44727</v>
      </c>
      <c r="B1" s="141" t="s">
        <v>14</v>
      </c>
      <c r="C1" s="132"/>
      <c r="D1" s="132"/>
      <c r="E1" s="132"/>
      <c r="F1" s="132"/>
      <c r="G1" s="133"/>
    </row>
    <row r="2" spans="1:7" x14ac:dyDescent="0.25">
      <c r="A2" s="15" t="s">
        <v>15</v>
      </c>
      <c r="B2" s="15" t="s">
        <v>16</v>
      </c>
      <c r="C2" s="142"/>
      <c r="D2" s="138"/>
      <c r="E2" s="138"/>
      <c r="F2" s="138"/>
      <c r="G2" s="138"/>
    </row>
    <row r="3" spans="1:7" x14ac:dyDescent="0.25">
      <c r="A3" s="17" t="s">
        <v>17</v>
      </c>
      <c r="B3" s="18">
        <v>298</v>
      </c>
      <c r="C3" s="143" t="s">
        <v>95</v>
      </c>
      <c r="D3" s="144"/>
      <c r="E3" s="144"/>
      <c r="F3" s="144"/>
      <c r="G3" s="144"/>
    </row>
    <row r="4" spans="1:7" x14ac:dyDescent="0.25">
      <c r="A4" s="17" t="s">
        <v>18</v>
      </c>
      <c r="B4" s="18">
        <v>6</v>
      </c>
      <c r="C4" s="143" t="s">
        <v>83</v>
      </c>
      <c r="D4" s="144"/>
      <c r="E4" s="144"/>
      <c r="F4" s="144"/>
      <c r="G4" s="144"/>
    </row>
    <row r="5" spans="1:7" x14ac:dyDescent="0.25">
      <c r="A5" s="17" t="s">
        <v>19</v>
      </c>
      <c r="B5" s="18">
        <v>14</v>
      </c>
      <c r="C5" s="140"/>
      <c r="D5" s="138"/>
      <c r="E5" s="138"/>
      <c r="F5" s="138"/>
      <c r="G5" s="138"/>
    </row>
    <row r="6" spans="1:7" x14ac:dyDescent="0.25">
      <c r="A6" s="17" t="s">
        <v>94</v>
      </c>
      <c r="B6" s="18">
        <v>104</v>
      </c>
      <c r="C6" s="140"/>
      <c r="D6" s="138"/>
      <c r="E6" s="138"/>
      <c r="F6" s="138"/>
      <c r="G6" s="138"/>
    </row>
    <row r="7" spans="1:7" x14ac:dyDescent="0.25">
      <c r="A7" s="19" t="s">
        <v>21</v>
      </c>
      <c r="B7" s="15">
        <f>SUM(B3:B6)</f>
        <v>422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75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0</v>
      </c>
      <c r="G11" s="21">
        <f>SUM(A11:F11)</f>
        <v>347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60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82</v>
      </c>
      <c r="B15" s="18">
        <v>0</v>
      </c>
      <c r="C15" s="18">
        <v>10</v>
      </c>
      <c r="D15" s="20">
        <v>0</v>
      </c>
      <c r="E15" s="28">
        <f>SUM(A15:D15)</f>
        <v>92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25.5" x14ac:dyDescent="0.25">
      <c r="A19" s="30" t="s">
        <v>39</v>
      </c>
      <c r="B19" s="42" t="s">
        <v>40</v>
      </c>
      <c r="C19" s="65" t="s">
        <v>41</v>
      </c>
      <c r="D19" s="33">
        <v>42103</v>
      </c>
      <c r="E19" s="18"/>
      <c r="F19" s="33"/>
      <c r="G19" s="36"/>
    </row>
    <row r="20" spans="1:7" ht="25.5" x14ac:dyDescent="0.25">
      <c r="A20" s="66" t="s">
        <v>42</v>
      </c>
      <c r="B20" s="67" t="s">
        <v>40</v>
      </c>
      <c r="C20" s="68" t="s">
        <v>41</v>
      </c>
      <c r="D20" s="52">
        <v>40455</v>
      </c>
      <c r="E20" s="53"/>
      <c r="F20" s="52"/>
      <c r="G20" s="36"/>
    </row>
    <row r="21" spans="1:7" ht="28.5" x14ac:dyDescent="0.25">
      <c r="A21" s="61" t="s">
        <v>92</v>
      </c>
      <c r="B21" s="62" t="s">
        <v>93</v>
      </c>
      <c r="C21" s="63" t="s">
        <v>91</v>
      </c>
      <c r="D21" s="64">
        <v>43497</v>
      </c>
      <c r="E21" s="60"/>
      <c r="F21" s="59"/>
      <c r="G21" s="36"/>
    </row>
    <row r="22" spans="1:7" ht="28.5" x14ac:dyDescent="0.25">
      <c r="A22" s="54" t="s">
        <v>45</v>
      </c>
      <c r="B22" s="55" t="s">
        <v>40</v>
      </c>
      <c r="C22" s="56" t="s">
        <v>44</v>
      </c>
      <c r="D22" s="57">
        <v>43237</v>
      </c>
      <c r="E22" s="58" t="s">
        <v>73</v>
      </c>
      <c r="F22" s="57" t="s">
        <v>72</v>
      </c>
      <c r="G22" s="36"/>
    </row>
    <row r="23" spans="1:7" x14ac:dyDescent="0.25">
      <c r="A23" s="38" t="s">
        <v>46</v>
      </c>
      <c r="B23" s="39">
        <f>COUNTIF(A19:A22,"&lt;&gt;")</f>
        <v>4</v>
      </c>
      <c r="C23" s="38"/>
      <c r="D23" s="38"/>
      <c r="E23" s="38"/>
      <c r="F23" s="40"/>
      <c r="G23" s="41"/>
    </row>
    <row r="24" spans="1:7" x14ac:dyDescent="0.25">
      <c r="A24" s="45"/>
      <c r="B24" s="45"/>
      <c r="C24" s="45"/>
      <c r="D24" s="45"/>
      <c r="E24" s="45"/>
      <c r="F24" s="45"/>
      <c r="G24" s="45"/>
    </row>
    <row r="25" spans="1:7" x14ac:dyDescent="0.25">
      <c r="A25" s="137" t="s">
        <v>47</v>
      </c>
      <c r="B25" s="138"/>
      <c r="C25" s="138"/>
      <c r="D25" s="138"/>
      <c r="E25" s="138"/>
      <c r="F25" s="138"/>
      <c r="G25" s="45"/>
    </row>
    <row r="26" spans="1:7" x14ac:dyDescent="0.25">
      <c r="A26" s="139" t="s">
        <v>48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49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50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51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52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53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54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55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56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57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58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59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60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61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62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63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64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65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66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67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68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69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70</v>
      </c>
      <c r="B48" s="132"/>
      <c r="C48" s="132"/>
      <c r="D48" s="132"/>
      <c r="E48" s="132"/>
      <c r="F48" s="133"/>
      <c r="G48" s="45"/>
    </row>
    <row r="49" spans="1:7" x14ac:dyDescent="0.25">
      <c r="A49" s="131" t="s">
        <v>71</v>
      </c>
      <c r="B49" s="132"/>
      <c r="C49" s="132"/>
      <c r="D49" s="132"/>
      <c r="E49" s="132"/>
      <c r="F49" s="133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2" spans="1:7" x14ac:dyDescent="0.25">
      <c r="A52" s="134" t="s">
        <v>0</v>
      </c>
      <c r="B52" s="134"/>
      <c r="C52" s="134"/>
      <c r="D52" s="134"/>
    </row>
    <row r="53" spans="1:7" x14ac:dyDescent="0.25">
      <c r="A53" s="44"/>
      <c r="B53" s="44"/>
      <c r="C53" s="44"/>
      <c r="D53" s="44"/>
    </row>
    <row r="54" spans="1:7" x14ac:dyDescent="0.25">
      <c r="A54" s="135" t="s">
        <v>7</v>
      </c>
      <c r="B54" s="135"/>
      <c r="C54" s="135"/>
      <c r="D54" s="135"/>
    </row>
    <row r="55" spans="1:7" x14ac:dyDescent="0.25">
      <c r="A55" s="129" t="s">
        <v>8</v>
      </c>
      <c r="B55" s="129"/>
      <c r="C55" s="129"/>
      <c r="D55" s="129"/>
    </row>
    <row r="59" spans="1:7" ht="15.75" thickBot="1" x14ac:dyDescent="0.3">
      <c r="A59" s="130"/>
      <c r="B59" s="130"/>
      <c r="C59" s="130"/>
      <c r="D59" s="130"/>
    </row>
    <row r="60" spans="1:7" ht="15.75" thickTop="1" x14ac:dyDescent="0.25">
      <c r="A60" s="9" t="s">
        <v>1</v>
      </c>
      <c r="B60" s="10" t="s">
        <v>5</v>
      </c>
      <c r="C60" s="10" t="s">
        <v>4</v>
      </c>
      <c r="D60" s="11" t="s">
        <v>6</v>
      </c>
    </row>
    <row r="61" spans="1:7" x14ac:dyDescent="0.25">
      <c r="A61" s="1" t="s">
        <v>11</v>
      </c>
      <c r="B61" s="2">
        <v>166</v>
      </c>
      <c r="C61" s="3">
        <v>134</v>
      </c>
      <c r="D61" s="4">
        <v>300</v>
      </c>
    </row>
    <row r="62" spans="1:7" x14ac:dyDescent="0.25">
      <c r="A62" s="1" t="s">
        <v>3</v>
      </c>
      <c r="B62" s="47" t="s">
        <v>74</v>
      </c>
      <c r="C62" s="3">
        <v>22</v>
      </c>
      <c r="D62" s="4">
        <v>25</v>
      </c>
    </row>
    <row r="63" spans="1:7" x14ac:dyDescent="0.25">
      <c r="A63" s="1" t="s">
        <v>12</v>
      </c>
      <c r="B63" s="47" t="s">
        <v>96</v>
      </c>
      <c r="C63" s="3">
        <v>94</v>
      </c>
      <c r="D63" s="4">
        <v>160</v>
      </c>
    </row>
    <row r="64" spans="1:7" x14ac:dyDescent="0.25">
      <c r="A64" s="1" t="s">
        <v>2</v>
      </c>
      <c r="B64" s="47" t="s">
        <v>75</v>
      </c>
      <c r="C64" s="3">
        <v>137</v>
      </c>
      <c r="D64" s="4">
        <v>200</v>
      </c>
    </row>
    <row r="65" spans="1:4" ht="15.75" thickBot="1" x14ac:dyDescent="0.3">
      <c r="A65" s="5" t="s">
        <v>10</v>
      </c>
      <c r="B65" s="48" t="s">
        <v>76</v>
      </c>
      <c r="C65" s="6">
        <v>60</v>
      </c>
      <c r="D65" s="7">
        <v>74</v>
      </c>
    </row>
    <row r="66" spans="1:4" ht="15.75" thickTop="1" x14ac:dyDescent="0.25"/>
    <row r="67" spans="1:4" x14ac:dyDescent="0.25">
      <c r="A67" s="13" t="s">
        <v>97</v>
      </c>
    </row>
    <row r="69" spans="1:4" x14ac:dyDescent="0.25">
      <c r="A69" s="12" t="s">
        <v>13</v>
      </c>
    </row>
    <row r="71" spans="1:4" x14ac:dyDescent="0.25">
      <c r="A71" s="8"/>
    </row>
    <row r="73" spans="1:4" x14ac:dyDescent="0.25">
      <c r="A73" t="s">
        <v>98</v>
      </c>
    </row>
    <row r="74" spans="1:4" x14ac:dyDescent="0.25">
      <c r="A74" s="8" t="s">
        <v>9</v>
      </c>
    </row>
  </sheetData>
  <mergeCells count="38">
    <mergeCell ref="C6:G6"/>
    <mergeCell ref="B1:G1"/>
    <mergeCell ref="C2:G2"/>
    <mergeCell ref="C3:G3"/>
    <mergeCell ref="C4:G4"/>
    <mergeCell ref="C5:G5"/>
    <mergeCell ref="A33:F33"/>
    <mergeCell ref="A9:G9"/>
    <mergeCell ref="A13:E13"/>
    <mergeCell ref="A17:F17"/>
    <mergeCell ref="A25:F25"/>
    <mergeCell ref="A26:F26"/>
    <mergeCell ref="A27:F27"/>
    <mergeCell ref="A28:F28"/>
    <mergeCell ref="A29:F29"/>
    <mergeCell ref="A30:F30"/>
    <mergeCell ref="A31:F31"/>
    <mergeCell ref="A32:F32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55:D55"/>
    <mergeCell ref="A59:D59"/>
    <mergeCell ref="A46:F46"/>
    <mergeCell ref="A47:F47"/>
    <mergeCell ref="A48:F48"/>
    <mergeCell ref="A49:F49"/>
    <mergeCell ref="A52:D52"/>
    <mergeCell ref="A54:D54"/>
  </mergeCells>
  <dataValidations count="1">
    <dataValidation type="list" allowBlank="1" sqref="A3:A6" xr:uid="{058B5953-E780-40DD-A6BD-0C57CC5C9B7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192BA-4BEB-4CE2-BA6A-F6656844B2D0}">
  <sheetPr>
    <tabColor rgb="FFFF0000"/>
  </sheetPr>
  <dimension ref="A2:H21"/>
  <sheetViews>
    <sheetView workbookViewId="0">
      <selection activeCell="G13" sqref="G13"/>
    </sheetView>
  </sheetViews>
  <sheetFormatPr defaultRowHeight="15" x14ac:dyDescent="0.25"/>
  <cols>
    <col min="1" max="1" width="32.7109375" customWidth="1"/>
    <col min="3" max="3" width="21" customWidth="1"/>
    <col min="4" max="4" width="15.42578125" customWidth="1"/>
    <col min="5" max="5" width="17.28515625" customWidth="1"/>
    <col min="6" max="6" width="16.42578125" customWidth="1"/>
    <col min="7" max="7" width="12" customWidth="1"/>
    <col min="8" max="8" width="11.42578125" customWidth="1"/>
  </cols>
  <sheetData>
    <row r="2" spans="1:8" x14ac:dyDescent="0.25">
      <c r="A2" s="69"/>
      <c r="B2" s="69"/>
      <c r="C2" s="69"/>
      <c r="D2" s="69"/>
      <c r="E2" s="69"/>
      <c r="F2" s="69"/>
      <c r="G2" s="69"/>
      <c r="H2" s="69"/>
    </row>
    <row r="3" spans="1:8" x14ac:dyDescent="0.25">
      <c r="A3" s="145" t="s">
        <v>99</v>
      </c>
      <c r="B3" s="145"/>
      <c r="C3" s="145"/>
      <c r="D3" s="145"/>
      <c r="E3" s="145"/>
      <c r="F3" s="145"/>
      <c r="G3" s="145"/>
      <c r="H3" s="145"/>
    </row>
    <row r="4" spans="1:8" x14ac:dyDescent="0.25">
      <c r="A4" s="69"/>
      <c r="B4" s="69"/>
      <c r="C4" s="69"/>
      <c r="D4" s="69"/>
      <c r="E4" s="69"/>
      <c r="F4" s="69"/>
      <c r="G4" s="69"/>
      <c r="H4" s="69"/>
    </row>
    <row r="5" spans="1:8" ht="15.75" thickBot="1" x14ac:dyDescent="0.3">
      <c r="A5" s="70"/>
      <c r="B5" s="71"/>
      <c r="C5" s="71"/>
      <c r="D5" s="71"/>
    </row>
    <row r="6" spans="1:8" ht="16.5" thickTop="1" thickBot="1" x14ac:dyDescent="0.3">
      <c r="A6" s="72" t="s">
        <v>100</v>
      </c>
      <c r="B6" s="72" t="s">
        <v>101</v>
      </c>
      <c r="C6" s="72" t="s">
        <v>102</v>
      </c>
      <c r="D6" s="72" t="s">
        <v>103</v>
      </c>
      <c r="E6" s="72" t="s">
        <v>104</v>
      </c>
      <c r="F6" s="72" t="s">
        <v>105</v>
      </c>
      <c r="G6" s="72" t="s">
        <v>106</v>
      </c>
      <c r="H6" s="72" t="s">
        <v>107</v>
      </c>
    </row>
    <row r="7" spans="1:8" ht="24.75" thickTop="1" thickBot="1" x14ac:dyDescent="0.3">
      <c r="A7" s="73" t="s">
        <v>42</v>
      </c>
      <c r="B7" s="74" t="s">
        <v>108</v>
      </c>
      <c r="C7" s="74" t="s">
        <v>109</v>
      </c>
      <c r="D7" s="75" t="s">
        <v>110</v>
      </c>
      <c r="E7" s="76" t="s">
        <v>111</v>
      </c>
      <c r="F7" s="77">
        <v>40456</v>
      </c>
      <c r="G7" s="78" t="s">
        <v>112</v>
      </c>
      <c r="H7" s="79">
        <v>40455</v>
      </c>
    </row>
    <row r="8" spans="1:8" ht="24" thickTop="1" thickBot="1" x14ac:dyDescent="0.3">
      <c r="A8" s="73" t="s">
        <v>113</v>
      </c>
      <c r="B8" s="74" t="s">
        <v>114</v>
      </c>
      <c r="C8" s="74" t="s">
        <v>44</v>
      </c>
      <c r="D8" s="75" t="s">
        <v>115</v>
      </c>
      <c r="E8" s="80" t="s">
        <v>116</v>
      </c>
      <c r="F8" s="81" t="s">
        <v>117</v>
      </c>
      <c r="G8" s="82" t="s">
        <v>118</v>
      </c>
      <c r="H8" s="82" t="s">
        <v>119</v>
      </c>
    </row>
    <row r="9" spans="1:8" ht="24" thickTop="1" thickBot="1" x14ac:dyDescent="0.3">
      <c r="A9" s="73" t="s">
        <v>120</v>
      </c>
      <c r="B9" s="83" t="s">
        <v>121</v>
      </c>
      <c r="C9" s="84" t="s">
        <v>91</v>
      </c>
      <c r="D9" s="75" t="s">
        <v>122</v>
      </c>
      <c r="E9" s="80" t="s">
        <v>116</v>
      </c>
      <c r="F9" s="77">
        <v>43497</v>
      </c>
      <c r="G9" s="82" t="s">
        <v>123</v>
      </c>
      <c r="H9" s="82" t="s">
        <v>124</v>
      </c>
    </row>
    <row r="10" spans="1:8" ht="24" thickTop="1" thickBot="1" x14ac:dyDescent="0.3">
      <c r="A10" s="73" t="s">
        <v>39</v>
      </c>
      <c r="B10" s="74" t="s">
        <v>125</v>
      </c>
      <c r="C10" s="74" t="s">
        <v>126</v>
      </c>
      <c r="D10" s="75" t="s">
        <v>127</v>
      </c>
      <c r="E10" s="80" t="s">
        <v>116</v>
      </c>
      <c r="F10" s="81" t="s">
        <v>128</v>
      </c>
      <c r="G10" s="78" t="s">
        <v>129</v>
      </c>
      <c r="H10" s="79">
        <v>42129</v>
      </c>
    </row>
    <row r="11" spans="1:8" ht="16.5" thickTop="1" thickBot="1" x14ac:dyDescent="0.3">
      <c r="A11" s="85" t="s">
        <v>130</v>
      </c>
      <c r="B11" s="86" t="s">
        <v>131</v>
      </c>
    </row>
    <row r="12" spans="1:8" ht="15.75" thickTop="1" x14ac:dyDescent="0.25"/>
    <row r="13" spans="1:8" x14ac:dyDescent="0.25">
      <c r="A13" s="87" t="s">
        <v>132</v>
      </c>
    </row>
    <row r="14" spans="1:8" x14ac:dyDescent="0.25">
      <c r="A14" s="88"/>
    </row>
    <row r="16" spans="1:8" x14ac:dyDescent="0.25">
      <c r="A16" s="89" t="s">
        <v>133</v>
      </c>
      <c r="D16" s="8"/>
    </row>
    <row r="17" spans="1:4" x14ac:dyDescent="0.25">
      <c r="D17" s="8"/>
    </row>
    <row r="20" spans="1:4" x14ac:dyDescent="0.25">
      <c r="A20" s="90" t="s">
        <v>134</v>
      </c>
    </row>
    <row r="21" spans="1:4" x14ac:dyDescent="0.25">
      <c r="A21" s="90" t="s">
        <v>9</v>
      </c>
    </row>
  </sheetData>
  <mergeCells count="1">
    <mergeCell ref="A3:H3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9F24-357D-4FB7-8023-F06EC1F4C023}">
  <sheetPr>
    <tabColor rgb="FFFF0000"/>
  </sheetPr>
  <dimension ref="A1:G75"/>
  <sheetViews>
    <sheetView workbookViewId="0">
      <selection activeCell="G14" sqref="G14"/>
    </sheetView>
  </sheetViews>
  <sheetFormatPr defaultRowHeight="15" x14ac:dyDescent="0.25"/>
  <cols>
    <col min="1" max="1" width="47.28515625" customWidth="1"/>
    <col min="2" max="2" width="19.7109375" customWidth="1"/>
    <col min="3" max="3" width="17.28515625" customWidth="1"/>
    <col min="4" max="4" width="23.85546875" customWidth="1"/>
    <col min="5" max="5" width="16.140625" customWidth="1"/>
    <col min="6" max="6" width="18.5703125" customWidth="1"/>
    <col min="7" max="7" width="25" customWidth="1"/>
  </cols>
  <sheetData>
    <row r="1" spans="1:7" x14ac:dyDescent="0.25">
      <c r="A1" s="14">
        <v>44784</v>
      </c>
      <c r="B1" s="141" t="s">
        <v>14</v>
      </c>
      <c r="C1" s="132"/>
      <c r="D1" s="132"/>
      <c r="E1" s="132"/>
      <c r="F1" s="132"/>
      <c r="G1" s="133"/>
    </row>
    <row r="2" spans="1:7" ht="30" customHeight="1" x14ac:dyDescent="0.25">
      <c r="A2" s="15" t="s">
        <v>15</v>
      </c>
      <c r="B2" s="15" t="s">
        <v>16</v>
      </c>
      <c r="C2" s="147"/>
      <c r="D2" s="148"/>
      <c r="E2" s="148"/>
      <c r="F2" s="148"/>
      <c r="G2" s="148"/>
    </row>
    <row r="3" spans="1:7" ht="15" customHeight="1" x14ac:dyDescent="0.25">
      <c r="A3" s="17" t="s">
        <v>17</v>
      </c>
      <c r="B3" s="18">
        <v>299</v>
      </c>
      <c r="C3" s="143" t="s">
        <v>135</v>
      </c>
      <c r="D3" s="149"/>
      <c r="E3" s="149"/>
      <c r="F3" s="149"/>
      <c r="G3" s="149"/>
    </row>
    <row r="4" spans="1:7" ht="15" customHeight="1" x14ac:dyDescent="0.25">
      <c r="A4" s="17" t="s">
        <v>18</v>
      </c>
      <c r="B4" s="18">
        <v>6</v>
      </c>
      <c r="C4" s="143" t="s">
        <v>83</v>
      </c>
      <c r="D4" s="149"/>
      <c r="E4" s="149"/>
      <c r="F4" s="149"/>
      <c r="G4" s="149"/>
    </row>
    <row r="5" spans="1:7" x14ac:dyDescent="0.25">
      <c r="A5" s="17" t="s">
        <v>19</v>
      </c>
      <c r="B5" s="18">
        <v>14</v>
      </c>
      <c r="C5" s="146"/>
      <c r="D5" s="140"/>
      <c r="E5" s="140"/>
      <c r="F5" s="140"/>
      <c r="G5" s="140"/>
    </row>
    <row r="6" spans="1:7" x14ac:dyDescent="0.25">
      <c r="A6" s="17" t="s">
        <v>136</v>
      </c>
      <c r="B6" s="18">
        <v>102</v>
      </c>
      <c r="C6" s="146"/>
      <c r="D6" s="140"/>
      <c r="E6" s="140"/>
      <c r="F6" s="140"/>
      <c r="G6" s="140"/>
    </row>
    <row r="7" spans="1:7" x14ac:dyDescent="0.25">
      <c r="A7" s="19" t="s">
        <v>21</v>
      </c>
      <c r="B7" s="15">
        <f>SUM(B3:B6)</f>
        <v>421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74.25" customHeight="1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0</v>
      </c>
      <c r="G11" s="21">
        <f>SUM(A11:F11)</f>
        <v>347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72" customHeight="1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82</v>
      </c>
      <c r="B15" s="18">
        <v>0</v>
      </c>
      <c r="C15" s="18">
        <v>10</v>
      </c>
      <c r="D15" s="20">
        <v>0</v>
      </c>
      <c r="E15" s="28">
        <f>SUM(A15:D15)</f>
        <v>92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25.5" customHeight="1" x14ac:dyDescent="0.25">
      <c r="A19" s="30" t="s">
        <v>39</v>
      </c>
      <c r="B19" s="42" t="s">
        <v>40</v>
      </c>
      <c r="C19" s="65" t="s">
        <v>41</v>
      </c>
      <c r="D19" s="33">
        <v>42103</v>
      </c>
      <c r="E19" s="18"/>
      <c r="F19" s="33"/>
      <c r="G19" s="36"/>
    </row>
    <row r="20" spans="1:7" ht="25.5" customHeight="1" x14ac:dyDescent="0.25">
      <c r="A20" s="66" t="s">
        <v>42</v>
      </c>
      <c r="B20" s="67" t="s">
        <v>40</v>
      </c>
      <c r="C20" s="68" t="s">
        <v>41</v>
      </c>
      <c r="D20" s="52">
        <v>40455</v>
      </c>
      <c r="E20" s="53"/>
      <c r="F20" s="52"/>
      <c r="G20" s="36"/>
    </row>
    <row r="21" spans="1:7" ht="25.5" customHeight="1" x14ac:dyDescent="0.25">
      <c r="A21" s="61" t="s">
        <v>92</v>
      </c>
      <c r="B21" s="62" t="s">
        <v>93</v>
      </c>
      <c r="C21" s="63" t="s">
        <v>91</v>
      </c>
      <c r="D21" s="64">
        <v>43497</v>
      </c>
      <c r="E21" s="60"/>
      <c r="F21" s="59"/>
      <c r="G21" s="36"/>
    </row>
    <row r="22" spans="1:7" ht="25.5" customHeight="1" x14ac:dyDescent="0.25">
      <c r="A22" s="54" t="s">
        <v>45</v>
      </c>
      <c r="B22" s="55" t="s">
        <v>40</v>
      </c>
      <c r="C22" s="56" t="s">
        <v>44</v>
      </c>
      <c r="D22" s="57">
        <v>43237</v>
      </c>
      <c r="E22" s="58" t="s">
        <v>73</v>
      </c>
      <c r="F22" s="57" t="s">
        <v>72</v>
      </c>
      <c r="G22" s="36"/>
    </row>
    <row r="23" spans="1:7" x14ac:dyDescent="0.25">
      <c r="A23" s="38" t="s">
        <v>46</v>
      </c>
      <c r="B23" s="39">
        <f>COUNTIF(A19:A22,"&lt;&gt;")</f>
        <v>4</v>
      </c>
      <c r="C23" s="38"/>
      <c r="D23" s="38"/>
      <c r="E23" s="38"/>
      <c r="F23" s="40"/>
      <c r="G23" s="41"/>
    </row>
    <row r="24" spans="1:7" x14ac:dyDescent="0.25">
      <c r="A24" s="45"/>
      <c r="B24" s="45"/>
      <c r="C24" s="45"/>
      <c r="D24" s="45"/>
      <c r="E24" s="45"/>
      <c r="F24" s="45"/>
      <c r="G24" s="45"/>
    </row>
    <row r="25" spans="1:7" x14ac:dyDescent="0.25">
      <c r="A25" s="137" t="s">
        <v>47</v>
      </c>
      <c r="B25" s="138"/>
      <c r="C25" s="138"/>
      <c r="D25" s="138"/>
      <c r="E25" s="138"/>
      <c r="F25" s="138"/>
      <c r="G25" s="45"/>
    </row>
    <row r="26" spans="1:7" x14ac:dyDescent="0.25">
      <c r="A26" s="139" t="s">
        <v>48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49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50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51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52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53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54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55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56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57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58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59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60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61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62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63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64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65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66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67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68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69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70</v>
      </c>
      <c r="B48" s="132"/>
      <c r="C48" s="132"/>
      <c r="D48" s="132"/>
      <c r="E48" s="132"/>
      <c r="F48" s="133"/>
      <c r="G48" s="45"/>
    </row>
    <row r="49" spans="1:7" x14ac:dyDescent="0.25">
      <c r="A49" s="131" t="s">
        <v>71</v>
      </c>
      <c r="B49" s="132"/>
      <c r="C49" s="132"/>
      <c r="D49" s="132"/>
      <c r="E49" s="132"/>
      <c r="F49" s="133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1" spans="1:7" x14ac:dyDescent="0.25">
      <c r="A51" s="45"/>
      <c r="B51" s="45"/>
      <c r="C51" s="45"/>
      <c r="D51" s="45"/>
      <c r="E51" s="45"/>
      <c r="F51" s="45"/>
      <c r="G51" s="45"/>
    </row>
    <row r="52" spans="1:7" x14ac:dyDescent="0.25">
      <c r="A52" s="45"/>
      <c r="B52" s="45"/>
      <c r="C52" s="45"/>
      <c r="D52" s="45"/>
      <c r="E52" s="45"/>
      <c r="F52" s="45"/>
      <c r="G52" s="45"/>
    </row>
    <row r="53" spans="1:7" x14ac:dyDescent="0.25">
      <c r="A53" s="45"/>
      <c r="B53" s="45"/>
      <c r="C53" s="45"/>
      <c r="D53" s="45"/>
      <c r="E53" s="45"/>
      <c r="F53" s="45"/>
      <c r="G53" s="45"/>
    </row>
    <row r="54" spans="1:7" x14ac:dyDescent="0.25">
      <c r="A54" s="45"/>
      <c r="B54" s="45"/>
      <c r="C54" s="45"/>
      <c r="D54" s="45"/>
      <c r="E54" s="45"/>
      <c r="F54" s="45"/>
      <c r="G54" s="45"/>
    </row>
    <row r="56" spans="1:7" x14ac:dyDescent="0.25">
      <c r="A56" s="134" t="s">
        <v>0</v>
      </c>
      <c r="B56" s="134"/>
      <c r="C56" s="134"/>
      <c r="D56" s="134"/>
    </row>
    <row r="57" spans="1:7" x14ac:dyDescent="0.25">
      <c r="A57" s="44"/>
      <c r="B57" s="44"/>
      <c r="C57" s="44"/>
      <c r="D57" s="44"/>
    </row>
    <row r="58" spans="1:7" x14ac:dyDescent="0.25">
      <c r="A58" s="135" t="s">
        <v>7</v>
      </c>
      <c r="B58" s="135"/>
      <c r="C58" s="135"/>
      <c r="D58" s="135"/>
    </row>
    <row r="59" spans="1:7" x14ac:dyDescent="0.25">
      <c r="A59" s="129" t="s">
        <v>8</v>
      </c>
      <c r="B59" s="129"/>
      <c r="C59" s="129"/>
      <c r="D59" s="129"/>
    </row>
    <row r="63" spans="1:7" ht="15.75" thickBot="1" x14ac:dyDescent="0.3">
      <c r="A63" s="130"/>
      <c r="B63" s="130"/>
      <c r="C63" s="130"/>
      <c r="D63" s="130"/>
    </row>
    <row r="64" spans="1:7" ht="15.75" thickTop="1" x14ac:dyDescent="0.25">
      <c r="A64" s="9" t="s">
        <v>1</v>
      </c>
      <c r="B64" s="10" t="s">
        <v>5</v>
      </c>
      <c r="C64" s="10" t="s">
        <v>4</v>
      </c>
      <c r="D64" s="11" t="s">
        <v>6</v>
      </c>
    </row>
    <row r="65" spans="1:4" ht="15" customHeight="1" x14ac:dyDescent="0.25">
      <c r="A65" s="1" t="s">
        <v>137</v>
      </c>
      <c r="B65" s="2">
        <v>166</v>
      </c>
      <c r="C65" s="3">
        <v>134</v>
      </c>
      <c r="D65" s="4">
        <v>300</v>
      </c>
    </row>
    <row r="66" spans="1:4" ht="15" customHeight="1" x14ac:dyDescent="0.25">
      <c r="A66" s="1" t="s">
        <v>3</v>
      </c>
      <c r="B66" s="47" t="s">
        <v>74</v>
      </c>
      <c r="C66" s="3">
        <v>22</v>
      </c>
      <c r="D66" s="4">
        <v>25</v>
      </c>
    </row>
    <row r="67" spans="1:4" ht="15" customHeight="1" x14ac:dyDescent="0.25">
      <c r="A67" s="1" t="s">
        <v>138</v>
      </c>
      <c r="B67" s="47" t="s">
        <v>139</v>
      </c>
      <c r="C67" s="3">
        <v>93</v>
      </c>
      <c r="D67" s="4">
        <v>160</v>
      </c>
    </row>
    <row r="68" spans="1:4" ht="15" customHeight="1" x14ac:dyDescent="0.25">
      <c r="A68" s="1" t="s">
        <v>2</v>
      </c>
      <c r="B68" s="47" t="s">
        <v>75</v>
      </c>
      <c r="C68" s="3">
        <v>137</v>
      </c>
      <c r="D68" s="4">
        <v>200</v>
      </c>
    </row>
    <row r="69" spans="1:4" ht="15" customHeight="1" thickBot="1" x14ac:dyDescent="0.3">
      <c r="A69" s="5" t="s">
        <v>10</v>
      </c>
      <c r="B69" s="48" t="s">
        <v>76</v>
      </c>
      <c r="C69" s="6">
        <v>60</v>
      </c>
      <c r="D69" s="7">
        <v>74</v>
      </c>
    </row>
    <row r="70" spans="1:4" ht="15.75" thickTop="1" x14ac:dyDescent="0.25"/>
    <row r="71" spans="1:4" x14ac:dyDescent="0.25">
      <c r="A71" s="13" t="s">
        <v>140</v>
      </c>
    </row>
    <row r="73" spans="1:4" x14ac:dyDescent="0.25">
      <c r="A73" s="12"/>
    </row>
    <row r="74" spans="1:4" x14ac:dyDescent="0.25">
      <c r="A74" t="s">
        <v>141</v>
      </c>
    </row>
    <row r="75" spans="1:4" x14ac:dyDescent="0.25">
      <c r="A75" s="8" t="s">
        <v>9</v>
      </c>
    </row>
  </sheetData>
  <mergeCells count="38">
    <mergeCell ref="C6:G6"/>
    <mergeCell ref="B1:G1"/>
    <mergeCell ref="C2:G2"/>
    <mergeCell ref="C3:G3"/>
    <mergeCell ref="C4:G4"/>
    <mergeCell ref="C5:G5"/>
    <mergeCell ref="A33:F33"/>
    <mergeCell ref="A9:G9"/>
    <mergeCell ref="A13:E13"/>
    <mergeCell ref="A17:F17"/>
    <mergeCell ref="A25:F25"/>
    <mergeCell ref="A26:F26"/>
    <mergeCell ref="A27:F27"/>
    <mergeCell ref="A28:F28"/>
    <mergeCell ref="A29:F29"/>
    <mergeCell ref="A30:F30"/>
    <mergeCell ref="A31:F31"/>
    <mergeCell ref="A32:F32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59:D59"/>
    <mergeCell ref="A63:D63"/>
    <mergeCell ref="A46:F46"/>
    <mergeCell ref="A47:F47"/>
    <mergeCell ref="A48:F48"/>
    <mergeCell ref="A49:F49"/>
    <mergeCell ref="A56:D56"/>
    <mergeCell ref="A58:D58"/>
  </mergeCells>
  <dataValidations count="1">
    <dataValidation type="list" allowBlank="1" sqref="A3:A6" xr:uid="{DC5F7F43-4B37-4353-A9CA-A1574C079D5D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43A24-498D-43AD-A98B-1556D3F059D0}">
  <sheetPr>
    <tabColor rgb="FFFF0000"/>
  </sheetPr>
  <dimension ref="A1:G77"/>
  <sheetViews>
    <sheetView workbookViewId="0">
      <selection activeCell="G14" sqref="G14"/>
    </sheetView>
  </sheetViews>
  <sheetFormatPr defaultRowHeight="15" x14ac:dyDescent="0.25"/>
  <cols>
    <col min="1" max="1" width="47.28515625" customWidth="1"/>
    <col min="2" max="2" width="19.7109375" customWidth="1"/>
    <col min="3" max="3" width="17.28515625" customWidth="1"/>
    <col min="4" max="4" width="23.85546875" customWidth="1"/>
    <col min="5" max="5" width="16.140625" customWidth="1"/>
    <col min="6" max="6" width="18.5703125" customWidth="1"/>
    <col min="7" max="7" width="25" customWidth="1"/>
  </cols>
  <sheetData>
    <row r="1" spans="1:7" x14ac:dyDescent="0.25">
      <c r="A1" s="14">
        <v>44816</v>
      </c>
      <c r="B1" s="141" t="s">
        <v>14</v>
      </c>
      <c r="C1" s="132"/>
      <c r="D1" s="132"/>
      <c r="E1" s="132"/>
      <c r="F1" s="132"/>
      <c r="G1" s="133"/>
    </row>
    <row r="2" spans="1:7" x14ac:dyDescent="0.25">
      <c r="A2" s="15" t="s">
        <v>15</v>
      </c>
      <c r="B2" s="15" t="s">
        <v>16</v>
      </c>
      <c r="C2" s="147"/>
      <c r="D2" s="148"/>
      <c r="E2" s="148"/>
      <c r="F2" s="148"/>
      <c r="G2" s="148"/>
    </row>
    <row r="3" spans="1:7" x14ac:dyDescent="0.25">
      <c r="A3" s="17" t="s">
        <v>17</v>
      </c>
      <c r="B3" s="18">
        <v>295</v>
      </c>
      <c r="C3" s="143" t="s">
        <v>142</v>
      </c>
      <c r="D3" s="149"/>
      <c r="E3" s="149"/>
      <c r="F3" s="149"/>
      <c r="G3" s="149"/>
    </row>
    <row r="4" spans="1:7" x14ac:dyDescent="0.25">
      <c r="A4" s="17" t="s">
        <v>18</v>
      </c>
      <c r="B4" s="18">
        <v>6</v>
      </c>
      <c r="C4" s="143" t="s">
        <v>83</v>
      </c>
      <c r="D4" s="149"/>
      <c r="E4" s="149"/>
      <c r="F4" s="149"/>
      <c r="G4" s="149"/>
    </row>
    <row r="5" spans="1:7" x14ac:dyDescent="0.25">
      <c r="A5" s="17" t="s">
        <v>19</v>
      </c>
      <c r="B5" s="18">
        <v>14</v>
      </c>
      <c r="C5" s="146"/>
      <c r="D5" s="140"/>
      <c r="E5" s="140"/>
      <c r="F5" s="140"/>
      <c r="G5" s="140"/>
    </row>
    <row r="6" spans="1:7" x14ac:dyDescent="0.25">
      <c r="A6" s="17" t="s">
        <v>143</v>
      </c>
      <c r="B6" s="18">
        <v>94</v>
      </c>
      <c r="C6" s="146"/>
      <c r="D6" s="140"/>
      <c r="E6" s="140"/>
      <c r="F6" s="140"/>
      <c r="G6" s="140"/>
    </row>
    <row r="7" spans="1:7" x14ac:dyDescent="0.25">
      <c r="A7" s="19" t="s">
        <v>21</v>
      </c>
      <c r="B7" s="15">
        <f>SUM(B3:B6)</f>
        <v>409</v>
      </c>
      <c r="C7" s="46"/>
      <c r="D7" s="46"/>
      <c r="E7" s="46"/>
      <c r="F7" s="46"/>
      <c r="G7" s="4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36" t="s">
        <v>22</v>
      </c>
      <c r="B9" s="132"/>
      <c r="C9" s="132"/>
      <c r="D9" s="132"/>
      <c r="E9" s="132"/>
      <c r="F9" s="132"/>
      <c r="G9" s="133"/>
    </row>
    <row r="10" spans="1:7" ht="60" x14ac:dyDescent="0.25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27</v>
      </c>
      <c r="F10" s="15" t="s">
        <v>28</v>
      </c>
      <c r="G10" s="15" t="s">
        <v>21</v>
      </c>
    </row>
    <row r="11" spans="1:7" x14ac:dyDescent="0.25">
      <c r="A11" s="18">
        <v>313</v>
      </c>
      <c r="B11" s="18">
        <v>1</v>
      </c>
      <c r="C11" s="18">
        <v>29</v>
      </c>
      <c r="D11" s="20">
        <v>4</v>
      </c>
      <c r="E11" s="18">
        <v>0</v>
      </c>
      <c r="F11" s="18">
        <v>0</v>
      </c>
      <c r="G11" s="21">
        <f>SUM(A11:F11)</f>
        <v>347</v>
      </c>
    </row>
    <row r="12" spans="1:7" x14ac:dyDescent="0.25">
      <c r="A12" s="24"/>
      <c r="B12" s="16"/>
      <c r="C12" s="25"/>
      <c r="D12" s="26"/>
      <c r="E12" s="16"/>
      <c r="F12" s="16"/>
      <c r="G12" s="16"/>
    </row>
    <row r="13" spans="1:7" x14ac:dyDescent="0.25">
      <c r="A13" s="136" t="s">
        <v>29</v>
      </c>
      <c r="B13" s="132"/>
      <c r="C13" s="132"/>
      <c r="D13" s="132"/>
      <c r="E13" s="133"/>
      <c r="F13" s="46"/>
      <c r="G13" s="46"/>
    </row>
    <row r="14" spans="1:7" ht="30" x14ac:dyDescent="0.25">
      <c r="A14" s="15" t="s">
        <v>23</v>
      </c>
      <c r="B14" s="15" t="s">
        <v>24</v>
      </c>
      <c r="C14" s="15" t="s">
        <v>30</v>
      </c>
      <c r="D14" s="15" t="s">
        <v>31</v>
      </c>
      <c r="E14" s="15" t="s">
        <v>21</v>
      </c>
      <c r="F14" s="46"/>
      <c r="G14" s="46"/>
    </row>
    <row r="15" spans="1:7" x14ac:dyDescent="0.25">
      <c r="A15" s="18">
        <v>82</v>
      </c>
      <c r="B15" s="18">
        <v>0</v>
      </c>
      <c r="C15" s="18">
        <v>10</v>
      </c>
      <c r="D15" s="20">
        <v>0</v>
      </c>
      <c r="E15" s="28">
        <f>SUM(A15:D15)</f>
        <v>92</v>
      </c>
      <c r="F15" s="23"/>
      <c r="G15" s="22"/>
    </row>
    <row r="16" spans="1:7" x14ac:dyDescent="0.25">
      <c r="A16" s="24"/>
      <c r="B16" s="16"/>
      <c r="C16" s="25"/>
      <c r="D16" s="26"/>
      <c r="E16" s="16"/>
      <c r="F16" s="16"/>
      <c r="G16" s="16"/>
    </row>
    <row r="17" spans="1:7" x14ac:dyDescent="0.25">
      <c r="A17" s="136" t="s">
        <v>32</v>
      </c>
      <c r="B17" s="132"/>
      <c r="C17" s="132"/>
      <c r="D17" s="132"/>
      <c r="E17" s="132"/>
      <c r="F17" s="133"/>
      <c r="G17" s="27"/>
    </row>
    <row r="18" spans="1:7" ht="30" x14ac:dyDescent="0.25">
      <c r="A18" s="15" t="s">
        <v>33</v>
      </c>
      <c r="B18" s="15" t="s">
        <v>34</v>
      </c>
      <c r="C18" s="29" t="s">
        <v>35</v>
      </c>
      <c r="D18" s="15" t="s">
        <v>36</v>
      </c>
      <c r="E18" s="15" t="s">
        <v>37</v>
      </c>
      <c r="F18" s="15" t="s">
        <v>38</v>
      </c>
      <c r="G18" s="27"/>
    </row>
    <row r="19" spans="1:7" ht="25.5" x14ac:dyDescent="0.25">
      <c r="A19" s="30" t="s">
        <v>39</v>
      </c>
      <c r="B19" s="42" t="s">
        <v>40</v>
      </c>
      <c r="C19" s="65" t="s">
        <v>41</v>
      </c>
      <c r="D19" s="33">
        <v>42103</v>
      </c>
      <c r="E19" s="18"/>
      <c r="F19" s="33"/>
      <c r="G19" s="36"/>
    </row>
    <row r="20" spans="1:7" ht="25.5" x14ac:dyDescent="0.25">
      <c r="A20" s="66" t="s">
        <v>42</v>
      </c>
      <c r="B20" s="67" t="s">
        <v>40</v>
      </c>
      <c r="C20" s="68" t="s">
        <v>41</v>
      </c>
      <c r="D20" s="52">
        <v>40455</v>
      </c>
      <c r="E20" s="53"/>
      <c r="F20" s="52"/>
      <c r="G20" s="36"/>
    </row>
    <row r="21" spans="1:7" ht="28.5" x14ac:dyDescent="0.25">
      <c r="A21" s="61" t="s">
        <v>92</v>
      </c>
      <c r="B21" s="62" t="s">
        <v>93</v>
      </c>
      <c r="C21" s="63" t="s">
        <v>91</v>
      </c>
      <c r="D21" s="64">
        <v>43497</v>
      </c>
      <c r="E21" s="60"/>
      <c r="F21" s="59"/>
      <c r="G21" s="36"/>
    </row>
    <row r="22" spans="1:7" ht="28.5" x14ac:dyDescent="0.25">
      <c r="A22" s="54" t="s">
        <v>45</v>
      </c>
      <c r="B22" s="55" t="s">
        <v>40</v>
      </c>
      <c r="C22" s="56" t="s">
        <v>44</v>
      </c>
      <c r="D22" s="57">
        <v>43237</v>
      </c>
      <c r="E22" s="58" t="s">
        <v>73</v>
      </c>
      <c r="F22" s="57" t="s">
        <v>72</v>
      </c>
      <c r="G22" s="36"/>
    </row>
    <row r="23" spans="1:7" x14ac:dyDescent="0.25">
      <c r="A23" s="38" t="s">
        <v>46</v>
      </c>
      <c r="B23" s="39">
        <f>COUNTIF(A19:A22,"&lt;&gt;")</f>
        <v>4</v>
      </c>
      <c r="C23" s="38"/>
      <c r="D23" s="38"/>
      <c r="E23" s="38"/>
      <c r="F23" s="40"/>
      <c r="G23" s="41"/>
    </row>
    <row r="24" spans="1:7" x14ac:dyDescent="0.25">
      <c r="A24" s="45"/>
      <c r="B24" s="45"/>
      <c r="C24" s="45"/>
      <c r="D24" s="45"/>
      <c r="E24" s="45"/>
      <c r="F24" s="45"/>
      <c r="G24" s="45"/>
    </row>
    <row r="25" spans="1:7" x14ac:dyDescent="0.25">
      <c r="A25" s="137" t="s">
        <v>47</v>
      </c>
      <c r="B25" s="138"/>
      <c r="C25" s="138"/>
      <c r="D25" s="138"/>
      <c r="E25" s="138"/>
      <c r="F25" s="138"/>
      <c r="G25" s="45"/>
    </row>
    <row r="26" spans="1:7" x14ac:dyDescent="0.25">
      <c r="A26" s="139" t="s">
        <v>48</v>
      </c>
      <c r="B26" s="132"/>
      <c r="C26" s="132"/>
      <c r="D26" s="132"/>
      <c r="E26" s="132"/>
      <c r="F26" s="133"/>
      <c r="G26" s="45"/>
    </row>
    <row r="27" spans="1:7" x14ac:dyDescent="0.25">
      <c r="A27" s="131" t="s">
        <v>49</v>
      </c>
      <c r="B27" s="132"/>
      <c r="C27" s="132"/>
      <c r="D27" s="132"/>
      <c r="E27" s="132"/>
      <c r="F27" s="133"/>
      <c r="G27" s="45"/>
    </row>
    <row r="28" spans="1:7" x14ac:dyDescent="0.25">
      <c r="A28" s="131" t="s">
        <v>50</v>
      </c>
      <c r="B28" s="132"/>
      <c r="C28" s="132"/>
      <c r="D28" s="132"/>
      <c r="E28" s="132"/>
      <c r="F28" s="133"/>
      <c r="G28" s="45"/>
    </row>
    <row r="29" spans="1:7" x14ac:dyDescent="0.25">
      <c r="A29" s="131" t="s">
        <v>51</v>
      </c>
      <c r="B29" s="132"/>
      <c r="C29" s="132"/>
      <c r="D29" s="132"/>
      <c r="E29" s="132"/>
      <c r="F29" s="133"/>
      <c r="G29" s="45"/>
    </row>
    <row r="30" spans="1:7" x14ac:dyDescent="0.25">
      <c r="A30" s="131" t="s">
        <v>52</v>
      </c>
      <c r="B30" s="132"/>
      <c r="C30" s="132"/>
      <c r="D30" s="132"/>
      <c r="E30" s="132"/>
      <c r="F30" s="133"/>
      <c r="G30" s="45"/>
    </row>
    <row r="31" spans="1:7" x14ac:dyDescent="0.25">
      <c r="A31" s="131" t="s">
        <v>53</v>
      </c>
      <c r="B31" s="132"/>
      <c r="C31" s="132"/>
      <c r="D31" s="132"/>
      <c r="E31" s="132"/>
      <c r="F31" s="133"/>
      <c r="G31" s="45"/>
    </row>
    <row r="32" spans="1:7" x14ac:dyDescent="0.25">
      <c r="A32" s="131" t="s">
        <v>54</v>
      </c>
      <c r="B32" s="132"/>
      <c r="C32" s="132"/>
      <c r="D32" s="132"/>
      <c r="E32" s="132"/>
      <c r="F32" s="133"/>
      <c r="G32" s="45"/>
    </row>
    <row r="33" spans="1:7" x14ac:dyDescent="0.25">
      <c r="A33" s="131" t="s">
        <v>55</v>
      </c>
      <c r="B33" s="132"/>
      <c r="C33" s="132"/>
      <c r="D33" s="132"/>
      <c r="E33" s="132"/>
      <c r="F33" s="133"/>
      <c r="G33" s="45"/>
    </row>
    <row r="34" spans="1:7" x14ac:dyDescent="0.25">
      <c r="A34" s="131" t="s">
        <v>56</v>
      </c>
      <c r="B34" s="132"/>
      <c r="C34" s="132"/>
      <c r="D34" s="132"/>
      <c r="E34" s="132"/>
      <c r="F34" s="133"/>
      <c r="G34" s="45"/>
    </row>
    <row r="35" spans="1:7" x14ac:dyDescent="0.25">
      <c r="A35" s="131" t="s">
        <v>57</v>
      </c>
      <c r="B35" s="132"/>
      <c r="C35" s="132"/>
      <c r="D35" s="132"/>
      <c r="E35" s="132"/>
      <c r="F35" s="133"/>
      <c r="G35" s="45"/>
    </row>
    <row r="36" spans="1:7" x14ac:dyDescent="0.25">
      <c r="A36" s="131" t="s">
        <v>58</v>
      </c>
      <c r="B36" s="132"/>
      <c r="C36" s="132"/>
      <c r="D36" s="132"/>
      <c r="E36" s="132"/>
      <c r="F36" s="133"/>
      <c r="G36" s="45"/>
    </row>
    <row r="37" spans="1:7" x14ac:dyDescent="0.25">
      <c r="A37" s="131" t="s">
        <v>59</v>
      </c>
      <c r="B37" s="132"/>
      <c r="C37" s="132"/>
      <c r="D37" s="132"/>
      <c r="E37" s="132"/>
      <c r="F37" s="133"/>
      <c r="G37" s="45"/>
    </row>
    <row r="38" spans="1:7" x14ac:dyDescent="0.25">
      <c r="A38" s="131" t="s">
        <v>60</v>
      </c>
      <c r="B38" s="132"/>
      <c r="C38" s="132"/>
      <c r="D38" s="132"/>
      <c r="E38" s="132"/>
      <c r="F38" s="133"/>
      <c r="G38" s="45"/>
    </row>
    <row r="39" spans="1:7" x14ac:dyDescent="0.25">
      <c r="A39" s="131" t="s">
        <v>61</v>
      </c>
      <c r="B39" s="132"/>
      <c r="C39" s="132"/>
      <c r="D39" s="132"/>
      <c r="E39" s="132"/>
      <c r="F39" s="133"/>
      <c r="G39" s="45"/>
    </row>
    <row r="40" spans="1:7" x14ac:dyDescent="0.25">
      <c r="A40" s="131" t="s">
        <v>62</v>
      </c>
      <c r="B40" s="132"/>
      <c r="C40" s="132"/>
      <c r="D40" s="132"/>
      <c r="E40" s="132"/>
      <c r="F40" s="133"/>
      <c r="G40" s="45"/>
    </row>
    <row r="41" spans="1:7" x14ac:dyDescent="0.25">
      <c r="A41" s="131" t="s">
        <v>63</v>
      </c>
      <c r="B41" s="132"/>
      <c r="C41" s="132"/>
      <c r="D41" s="132"/>
      <c r="E41" s="132"/>
      <c r="F41" s="133"/>
      <c r="G41" s="45"/>
    </row>
    <row r="42" spans="1:7" x14ac:dyDescent="0.25">
      <c r="A42" s="131" t="s">
        <v>64</v>
      </c>
      <c r="B42" s="132"/>
      <c r="C42" s="132"/>
      <c r="D42" s="132"/>
      <c r="E42" s="132"/>
      <c r="F42" s="133"/>
      <c r="G42" s="45"/>
    </row>
    <row r="43" spans="1:7" x14ac:dyDescent="0.25">
      <c r="A43" s="131" t="s">
        <v>65</v>
      </c>
      <c r="B43" s="132"/>
      <c r="C43" s="132"/>
      <c r="D43" s="132"/>
      <c r="E43" s="132"/>
      <c r="F43" s="133"/>
      <c r="G43" s="45"/>
    </row>
    <row r="44" spans="1:7" x14ac:dyDescent="0.25">
      <c r="A44" s="131" t="s">
        <v>66</v>
      </c>
      <c r="B44" s="132"/>
      <c r="C44" s="132"/>
      <c r="D44" s="132"/>
      <c r="E44" s="132"/>
      <c r="F44" s="133"/>
      <c r="G44" s="45"/>
    </row>
    <row r="45" spans="1:7" x14ac:dyDescent="0.25">
      <c r="A45" s="131" t="s">
        <v>67</v>
      </c>
      <c r="B45" s="132"/>
      <c r="C45" s="132"/>
      <c r="D45" s="132"/>
      <c r="E45" s="132"/>
      <c r="F45" s="133"/>
      <c r="G45" s="45"/>
    </row>
    <row r="46" spans="1:7" x14ac:dyDescent="0.25">
      <c r="A46" s="131" t="s">
        <v>68</v>
      </c>
      <c r="B46" s="132"/>
      <c r="C46" s="132"/>
      <c r="D46" s="132"/>
      <c r="E46" s="132"/>
      <c r="F46" s="133"/>
      <c r="G46" s="45"/>
    </row>
    <row r="47" spans="1:7" x14ac:dyDescent="0.25">
      <c r="A47" s="131" t="s">
        <v>69</v>
      </c>
      <c r="B47" s="132"/>
      <c r="C47" s="132"/>
      <c r="D47" s="132"/>
      <c r="E47" s="132"/>
      <c r="F47" s="133"/>
      <c r="G47" s="45"/>
    </row>
    <row r="48" spans="1:7" x14ac:dyDescent="0.25">
      <c r="A48" s="131" t="s">
        <v>70</v>
      </c>
      <c r="B48" s="132"/>
      <c r="C48" s="132"/>
      <c r="D48" s="132"/>
      <c r="E48" s="132"/>
      <c r="F48" s="133"/>
      <c r="G48" s="45"/>
    </row>
    <row r="49" spans="1:7" x14ac:dyDescent="0.25">
      <c r="A49" s="131" t="s">
        <v>71</v>
      </c>
      <c r="B49" s="132"/>
      <c r="C49" s="132"/>
      <c r="D49" s="132"/>
      <c r="E49" s="132"/>
      <c r="F49" s="133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1" spans="1:7" x14ac:dyDescent="0.25">
      <c r="A51" s="45"/>
      <c r="B51" s="45"/>
      <c r="C51" s="45"/>
      <c r="D51" s="45"/>
      <c r="E51" s="45"/>
      <c r="F51" s="45"/>
      <c r="G51" s="45"/>
    </row>
    <row r="52" spans="1:7" x14ac:dyDescent="0.25">
      <c r="A52" s="45"/>
      <c r="B52" s="45"/>
      <c r="C52" s="45"/>
      <c r="D52" s="45"/>
      <c r="E52" s="45"/>
      <c r="F52" s="45"/>
      <c r="G52" s="45"/>
    </row>
    <row r="53" spans="1:7" x14ac:dyDescent="0.25">
      <c r="A53" s="45"/>
      <c r="B53" s="45"/>
      <c r="C53" s="45"/>
      <c r="D53" s="45"/>
      <c r="E53" s="45"/>
      <c r="F53" s="45"/>
      <c r="G53" s="45"/>
    </row>
    <row r="54" spans="1:7" x14ac:dyDescent="0.25">
      <c r="A54" s="45"/>
      <c r="B54" s="45"/>
      <c r="C54" s="45"/>
      <c r="D54" s="45"/>
      <c r="E54" s="45"/>
      <c r="F54" s="45"/>
      <c r="G54" s="45"/>
    </row>
    <row r="55" spans="1:7" x14ac:dyDescent="0.25">
      <c r="A55" s="45"/>
      <c r="B55" s="45"/>
      <c r="C55" s="45"/>
      <c r="D55" s="45"/>
      <c r="E55" s="45"/>
      <c r="F55" s="45"/>
      <c r="G55" s="45"/>
    </row>
    <row r="56" spans="1:7" x14ac:dyDescent="0.25">
      <c r="A56" s="45"/>
      <c r="B56" s="45"/>
      <c r="C56" s="45"/>
      <c r="D56" s="45"/>
      <c r="E56" s="45"/>
      <c r="F56" s="45"/>
      <c r="G56" s="45"/>
    </row>
    <row r="58" spans="1:7" x14ac:dyDescent="0.25">
      <c r="A58" s="134" t="s">
        <v>0</v>
      </c>
      <c r="B58" s="134"/>
      <c r="C58" s="134"/>
      <c r="D58" s="134"/>
    </row>
    <row r="59" spans="1:7" x14ac:dyDescent="0.25">
      <c r="A59" s="44"/>
      <c r="B59" s="44"/>
      <c r="C59" s="44"/>
      <c r="D59" s="44"/>
    </row>
    <row r="60" spans="1:7" x14ac:dyDescent="0.25">
      <c r="A60" s="135" t="s">
        <v>7</v>
      </c>
      <c r="B60" s="135"/>
      <c r="C60" s="135"/>
      <c r="D60" s="135"/>
    </row>
    <row r="61" spans="1:7" x14ac:dyDescent="0.25">
      <c r="A61" s="129" t="s">
        <v>8</v>
      </c>
      <c r="B61" s="129"/>
      <c r="C61" s="129"/>
      <c r="D61" s="129"/>
    </row>
    <row r="65" spans="1:4" ht="15.75" thickBot="1" x14ac:dyDescent="0.3">
      <c r="A65" s="130"/>
      <c r="B65" s="130"/>
      <c r="C65" s="130"/>
      <c r="D65" s="130"/>
    </row>
    <row r="66" spans="1:4" ht="15.75" thickTop="1" x14ac:dyDescent="0.25">
      <c r="A66" s="9" t="s">
        <v>1</v>
      </c>
      <c r="B66" s="10" t="s">
        <v>5</v>
      </c>
      <c r="C66" s="10" t="s">
        <v>4</v>
      </c>
      <c r="D66" s="11" t="s">
        <v>6</v>
      </c>
    </row>
    <row r="67" spans="1:4" x14ac:dyDescent="0.25">
      <c r="A67" s="1" t="s">
        <v>137</v>
      </c>
      <c r="B67" s="2">
        <v>162</v>
      </c>
      <c r="C67" s="3">
        <v>138</v>
      </c>
      <c r="D67" s="4">
        <v>300</v>
      </c>
    </row>
    <row r="68" spans="1:4" x14ac:dyDescent="0.25">
      <c r="A68" s="1" t="s">
        <v>3</v>
      </c>
      <c r="B68" s="47" t="s">
        <v>74</v>
      </c>
      <c r="C68" s="3">
        <v>22</v>
      </c>
      <c r="D68" s="4">
        <v>25</v>
      </c>
    </row>
    <row r="69" spans="1:4" x14ac:dyDescent="0.25">
      <c r="A69" s="1" t="s">
        <v>138</v>
      </c>
      <c r="B69" s="47" t="s">
        <v>139</v>
      </c>
      <c r="C69" s="3">
        <v>93</v>
      </c>
      <c r="D69" s="4">
        <v>160</v>
      </c>
    </row>
    <row r="70" spans="1:4" x14ac:dyDescent="0.25">
      <c r="A70" s="1" t="s">
        <v>2</v>
      </c>
      <c r="B70" s="47" t="s">
        <v>75</v>
      </c>
      <c r="C70" s="3">
        <v>137</v>
      </c>
      <c r="D70" s="4">
        <v>200</v>
      </c>
    </row>
    <row r="71" spans="1:4" ht="15.75" thickBot="1" x14ac:dyDescent="0.3">
      <c r="A71" s="5" t="s">
        <v>10</v>
      </c>
      <c r="B71" s="48" t="s">
        <v>76</v>
      </c>
      <c r="C71" s="6">
        <v>60</v>
      </c>
      <c r="D71" s="7">
        <v>74</v>
      </c>
    </row>
    <row r="72" spans="1:4" ht="15.75" thickTop="1" x14ac:dyDescent="0.25"/>
    <row r="73" spans="1:4" x14ac:dyDescent="0.25">
      <c r="A73" s="13" t="s">
        <v>144</v>
      </c>
    </row>
    <row r="75" spans="1:4" x14ac:dyDescent="0.25">
      <c r="A75" s="12"/>
    </row>
    <row r="76" spans="1:4" x14ac:dyDescent="0.25">
      <c r="A76" t="s">
        <v>145</v>
      </c>
    </row>
    <row r="77" spans="1:4" x14ac:dyDescent="0.25">
      <c r="A77" s="8" t="s">
        <v>9</v>
      </c>
    </row>
  </sheetData>
  <mergeCells count="38">
    <mergeCell ref="A61:D61"/>
    <mergeCell ref="A65:D65"/>
    <mergeCell ref="A46:F46"/>
    <mergeCell ref="A47:F47"/>
    <mergeCell ref="A48:F48"/>
    <mergeCell ref="A49:F49"/>
    <mergeCell ref="A58:D58"/>
    <mergeCell ref="A60:D60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33:F33"/>
    <mergeCell ref="A9:G9"/>
    <mergeCell ref="A13:E13"/>
    <mergeCell ref="A17:F17"/>
    <mergeCell ref="A25:F25"/>
    <mergeCell ref="A26:F26"/>
    <mergeCell ref="A27:F27"/>
    <mergeCell ref="A28:F28"/>
    <mergeCell ref="A29:F29"/>
    <mergeCell ref="A30:F30"/>
    <mergeCell ref="A31:F31"/>
    <mergeCell ref="A32:F32"/>
    <mergeCell ref="C6:G6"/>
    <mergeCell ref="B1:G1"/>
    <mergeCell ref="C2:G2"/>
    <mergeCell ref="C3:G3"/>
    <mergeCell ref="C4:G4"/>
    <mergeCell ref="C5:G5"/>
  </mergeCells>
  <dataValidations count="1">
    <dataValidation type="list" allowBlank="1" sqref="A3:A6" xr:uid="{4B90A2DA-0E9D-4580-976E-E5D82840D1DC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53DA-31D7-40AB-8BE6-16FAAAF79B69}">
  <sheetPr>
    <tabColor rgb="FFFF0000"/>
  </sheetPr>
  <dimension ref="A1:J164"/>
  <sheetViews>
    <sheetView topLeftCell="B43" workbookViewId="0">
      <selection activeCell="K57" sqref="K57"/>
    </sheetView>
  </sheetViews>
  <sheetFormatPr defaultRowHeight="15" x14ac:dyDescent="0.25"/>
  <cols>
    <col min="1" max="1" width="75" customWidth="1"/>
    <col min="2" max="2" width="9" customWidth="1"/>
    <col min="3" max="3" width="14.7109375" customWidth="1"/>
    <col min="6" max="6" width="56.7109375" customWidth="1"/>
    <col min="7" max="7" width="15.7109375" customWidth="1"/>
    <col min="8" max="8" width="13.5703125" customWidth="1"/>
    <col min="9" max="9" width="15.28515625" customWidth="1"/>
  </cols>
  <sheetData>
    <row r="1" spans="1:10" x14ac:dyDescent="0.25">
      <c r="A1" s="91">
        <v>44844</v>
      </c>
      <c r="B1" s="159" t="s">
        <v>14</v>
      </c>
      <c r="C1" s="151"/>
      <c r="D1" s="151"/>
      <c r="E1" s="151"/>
      <c r="F1" s="151"/>
      <c r="G1" s="151"/>
      <c r="H1" s="151"/>
      <c r="I1" s="151"/>
      <c r="J1" s="152"/>
    </row>
    <row r="2" spans="1:10" x14ac:dyDescent="0.25">
      <c r="A2" s="160" t="s">
        <v>146</v>
      </c>
      <c r="B2" s="151"/>
      <c r="C2" s="151"/>
      <c r="D2" s="151"/>
      <c r="E2" s="151"/>
      <c r="F2" s="151"/>
      <c r="G2" s="151"/>
      <c r="H2" s="151"/>
      <c r="I2" s="151"/>
      <c r="J2" s="152"/>
    </row>
    <row r="3" spans="1:10" ht="45" x14ac:dyDescent="0.25">
      <c r="A3" s="92" t="s">
        <v>147</v>
      </c>
      <c r="B3" s="93" t="s">
        <v>148</v>
      </c>
      <c r="C3" s="93" t="s">
        <v>149</v>
      </c>
      <c r="D3" s="93" t="s">
        <v>150</v>
      </c>
      <c r="E3" s="93" t="s">
        <v>151</v>
      </c>
      <c r="F3" s="93" t="s">
        <v>152</v>
      </c>
      <c r="G3" s="93" t="s">
        <v>153</v>
      </c>
      <c r="H3" s="93" t="s">
        <v>154</v>
      </c>
      <c r="I3" s="93" t="s">
        <v>155</v>
      </c>
    </row>
    <row r="4" spans="1:10" ht="15" customHeight="1" x14ac:dyDescent="0.25">
      <c r="A4" s="94" t="s">
        <v>156</v>
      </c>
      <c r="B4" s="95" t="s">
        <v>157</v>
      </c>
      <c r="C4" s="96" t="s">
        <v>158</v>
      </c>
      <c r="D4" s="96" t="s">
        <v>17</v>
      </c>
      <c r="E4" s="97">
        <v>1</v>
      </c>
      <c r="F4" s="94" t="s">
        <v>159</v>
      </c>
      <c r="G4" s="98">
        <v>0</v>
      </c>
      <c r="H4" s="98">
        <v>8903.2999999999993</v>
      </c>
      <c r="I4" s="98">
        <v>9249.0300000000007</v>
      </c>
    </row>
    <row r="5" spans="1:10" ht="15" customHeight="1" x14ac:dyDescent="0.25">
      <c r="A5" s="94" t="s">
        <v>160</v>
      </c>
      <c r="B5" s="95" t="s">
        <v>161</v>
      </c>
      <c r="C5" s="96" t="s">
        <v>162</v>
      </c>
      <c r="D5" s="96" t="s">
        <v>18</v>
      </c>
      <c r="E5" s="97">
        <v>1</v>
      </c>
      <c r="F5" s="94" t="s">
        <v>163</v>
      </c>
      <c r="G5" s="98">
        <v>0</v>
      </c>
      <c r="H5" s="98">
        <v>1079.21</v>
      </c>
      <c r="I5" s="98">
        <v>4316.21</v>
      </c>
    </row>
    <row r="6" spans="1:10" ht="15" customHeight="1" x14ac:dyDescent="0.25">
      <c r="A6" s="94" t="s">
        <v>164</v>
      </c>
      <c r="B6" s="95" t="s">
        <v>165</v>
      </c>
      <c r="C6" s="96" t="s">
        <v>166</v>
      </c>
      <c r="D6" s="96" t="s">
        <v>18</v>
      </c>
      <c r="E6" s="97">
        <v>1</v>
      </c>
      <c r="F6" s="94" t="s">
        <v>167</v>
      </c>
      <c r="G6" s="98">
        <v>0</v>
      </c>
      <c r="H6" s="98">
        <v>500.99</v>
      </c>
      <c r="I6" s="98">
        <v>2003.96</v>
      </c>
    </row>
    <row r="7" spans="1:10" ht="15" customHeight="1" x14ac:dyDescent="0.25">
      <c r="A7" s="94" t="s">
        <v>168</v>
      </c>
      <c r="B7" s="95" t="s">
        <v>169</v>
      </c>
      <c r="C7" s="96" t="s">
        <v>170</v>
      </c>
      <c r="D7" s="96" t="s">
        <v>18</v>
      </c>
      <c r="E7" s="97">
        <v>1</v>
      </c>
      <c r="F7" s="94" t="s">
        <v>171</v>
      </c>
      <c r="G7" s="98">
        <v>0</v>
      </c>
      <c r="H7" s="98">
        <v>308.3</v>
      </c>
      <c r="I7" s="98">
        <v>1288</v>
      </c>
    </row>
    <row r="8" spans="1:10" ht="15" customHeight="1" x14ac:dyDescent="0.25">
      <c r="A8" s="94" t="s">
        <v>172</v>
      </c>
      <c r="B8" s="95" t="s">
        <v>173</v>
      </c>
      <c r="C8" s="96" t="s">
        <v>174</v>
      </c>
      <c r="D8" s="96" t="s">
        <v>18</v>
      </c>
      <c r="E8" s="97">
        <v>1</v>
      </c>
      <c r="F8" s="94" t="s">
        <v>175</v>
      </c>
      <c r="G8" s="98">
        <v>0</v>
      </c>
      <c r="H8" s="98">
        <v>770.75</v>
      </c>
      <c r="I8" s="98">
        <v>3083.01</v>
      </c>
    </row>
    <row r="9" spans="1:10" ht="15" customHeight="1" x14ac:dyDescent="0.25">
      <c r="A9" s="94" t="s">
        <v>176</v>
      </c>
      <c r="B9" s="95" t="s">
        <v>173</v>
      </c>
      <c r="C9" s="96" t="s">
        <v>177</v>
      </c>
      <c r="D9" s="96" t="s">
        <v>18</v>
      </c>
      <c r="E9" s="97">
        <v>1</v>
      </c>
      <c r="F9" s="94" t="s">
        <v>178</v>
      </c>
      <c r="G9" s="98">
        <v>0</v>
      </c>
      <c r="H9" s="98">
        <v>770.75</v>
      </c>
      <c r="I9" s="98">
        <v>3083.01</v>
      </c>
    </row>
    <row r="10" spans="1:10" ht="15" customHeight="1" x14ac:dyDescent="0.25">
      <c r="A10" s="94" t="s">
        <v>179</v>
      </c>
      <c r="B10" s="96" t="s">
        <v>161</v>
      </c>
      <c r="C10" s="96" t="s">
        <v>180</v>
      </c>
      <c r="D10" s="96" t="s">
        <v>18</v>
      </c>
      <c r="E10" s="97">
        <v>1</v>
      </c>
      <c r="F10" s="94" t="s">
        <v>181</v>
      </c>
      <c r="G10" s="98">
        <v>0</v>
      </c>
      <c r="H10" s="98">
        <v>1079.21</v>
      </c>
      <c r="I10" s="98">
        <v>4316.21</v>
      </c>
    </row>
    <row r="11" spans="1:10" ht="60" customHeight="1" x14ac:dyDescent="0.25">
      <c r="A11" s="99" t="s">
        <v>182</v>
      </c>
      <c r="B11" s="99" t="s">
        <v>183</v>
      </c>
      <c r="C11" s="100" t="s">
        <v>184</v>
      </c>
      <c r="D11" s="100" t="s">
        <v>185</v>
      </c>
      <c r="E11" s="100" t="s">
        <v>186</v>
      </c>
      <c r="F11" s="101"/>
      <c r="G11" s="100" t="s">
        <v>187</v>
      </c>
      <c r="H11" s="100" t="s">
        <v>188</v>
      </c>
      <c r="I11" s="100" t="s">
        <v>189</v>
      </c>
    </row>
    <row r="12" spans="1:10" ht="15" customHeight="1" x14ac:dyDescent="0.25">
      <c r="A12" s="102" t="s">
        <v>190</v>
      </c>
      <c r="B12" s="97" t="s">
        <v>191</v>
      </c>
      <c r="C12" s="103">
        <f ca="1">SUMIFS($E$7:$E$13,$B$7:$B$13,"DAS",$D$7:$D$13,"&lt;&gt;VAGO")</f>
        <v>0</v>
      </c>
      <c r="D12" s="103">
        <f ca="1">SUMIFS($E$7:$E$13,$B$7:$B$13,"DAS",$D$7:$D$13,"VAGO")</f>
        <v>0</v>
      </c>
      <c r="E12" s="103">
        <f t="shared" ref="E12:E22" ca="1" si="0">C12+D12</f>
        <v>0</v>
      </c>
      <c r="F12" s="104"/>
      <c r="G12" s="105">
        <f ca="1">SUMIF($B$7:$B$13,"DAS",$G$7:$G$13)</f>
        <v>0</v>
      </c>
      <c r="H12" s="105">
        <f ca="1">SUMIF($B$7:$B$13,"DAS",$H$7:$H$13)</f>
        <v>0</v>
      </c>
      <c r="I12" s="105">
        <f ca="1">SUMIF($B$7:$B$13,"DAS",$I$7:$I$13)</f>
        <v>0</v>
      </c>
    </row>
    <row r="13" spans="1:10" ht="15" customHeight="1" x14ac:dyDescent="0.25">
      <c r="A13" s="102" t="s">
        <v>192</v>
      </c>
      <c r="B13" s="97" t="s">
        <v>157</v>
      </c>
      <c r="C13" s="103">
        <f ca="1">SUMIFS($E$7:$E$13,$B$7:$B$13,"DAS-1",$D$7:$D$13,"&lt;&gt;VAGO")</f>
        <v>1</v>
      </c>
      <c r="D13" s="103">
        <f ca="1">SUMIFS($E$7:$E$13,$B$7:$B$13,"DAS-1",$D$7:$D$13,"VAGO")</f>
        <v>0</v>
      </c>
      <c r="E13" s="103">
        <f t="shared" ca="1" si="0"/>
        <v>1</v>
      </c>
      <c r="F13" s="106"/>
      <c r="G13" s="105">
        <f ca="1">SUMIF($B$7:$B$13,"DAS-1",$G$7:$G$13)</f>
        <v>0</v>
      </c>
      <c r="H13" s="105">
        <f ca="1">SUMIF($B$7:$B$13,"DAS-1",$H$7:$H$13)</f>
        <v>8479.34</v>
      </c>
      <c r="I13" s="105">
        <f ca="1">SUMIF($B$7:$B$13,"DAS-1",$I$7:$I$13)</f>
        <v>7973.3</v>
      </c>
    </row>
    <row r="14" spans="1:10" ht="15" customHeight="1" x14ac:dyDescent="0.25">
      <c r="A14" s="102" t="s">
        <v>193</v>
      </c>
      <c r="B14" s="97" t="s">
        <v>194</v>
      </c>
      <c r="C14" s="103">
        <f>SUMIFS($E$7:$E$13,$B$7:$B$13,"DAS-2",$D$7:$D$13,"&lt;&gt;VAGO")</f>
        <v>0</v>
      </c>
      <c r="D14" s="103">
        <f>SUMIFS($E$7:$E$13,$B$7:$B$13,"DAS-2",$D$7:$D$13,"VAGO")</f>
        <v>0</v>
      </c>
      <c r="E14" s="103">
        <f t="shared" si="0"/>
        <v>0</v>
      </c>
      <c r="F14" s="106"/>
      <c r="G14" s="105">
        <f>SUMIF($B$7:$B$13,"DAS-2",$G$7:$G$13)</f>
        <v>0</v>
      </c>
      <c r="H14" s="105">
        <f>SUMIF($B$7:$B$13,"DAS-2",$H$7:$H$13)</f>
        <v>0</v>
      </c>
      <c r="I14" s="105">
        <f>SUMIF($B$7:$B$13,"DAS-2",$I$7:$I$13)</f>
        <v>0</v>
      </c>
    </row>
    <row r="15" spans="1:10" ht="15" customHeight="1" x14ac:dyDescent="0.25">
      <c r="A15" s="102" t="s">
        <v>195</v>
      </c>
      <c r="B15" s="97" t="s">
        <v>196</v>
      </c>
      <c r="C15" s="103">
        <f>SUMIFS($E$7:$E$13,$B$7:$B$13,"DAS-3",$D$7:$D$13,"&lt;&gt;VAGO")</f>
        <v>0</v>
      </c>
      <c r="D15" s="103">
        <f>SUMIFS($E$7:$E$13,$B$7:$B$13,"DAS-3",$D$7:$D$13,"VAGO")</f>
        <v>0</v>
      </c>
      <c r="E15" s="103">
        <f t="shared" si="0"/>
        <v>0</v>
      </c>
      <c r="F15" s="106"/>
      <c r="G15" s="105">
        <f>SUMIF($B$7:$B$13,"DAS-3",$G$7:$G$13)</f>
        <v>0</v>
      </c>
      <c r="H15" s="105">
        <f>SUMIF($B$7:$B$13,"DAS-3",$H$7:$H$13)</f>
        <v>0</v>
      </c>
      <c r="I15" s="105">
        <f>SUMIF($B$7:$B$13,"DAS-3",$I$7:$I$13)</f>
        <v>0</v>
      </c>
    </row>
    <row r="16" spans="1:10" ht="15" customHeight="1" x14ac:dyDescent="0.25">
      <c r="A16" s="107" t="s">
        <v>197</v>
      </c>
      <c r="B16" s="97" t="s">
        <v>198</v>
      </c>
      <c r="C16" s="103">
        <f>SUMIFS($E$7:$E$13,$B$7:$B$13,"DAS-4",$D$7:$D$13,"&lt;&gt;VAGO")</f>
        <v>0</v>
      </c>
      <c r="D16" s="103">
        <f>SUMIFS($E$7:$E$13,$B$7:$B$13,"DAS-4",$D$7:$D$13,"VAGO")</f>
        <v>0</v>
      </c>
      <c r="E16" s="103">
        <f t="shared" si="0"/>
        <v>0</v>
      </c>
      <c r="F16" s="108"/>
      <c r="G16" s="105">
        <f>SUMIF($B$7:$B$13,"DAS-4",$G$7:$G$13)</f>
        <v>0</v>
      </c>
      <c r="H16" s="105">
        <f>SUMIF($B$7:$B$13,"DAS-4",$H$7:$H$13)</f>
        <v>0</v>
      </c>
      <c r="I16" s="105">
        <f>SUMIF($B$7:$B$13,"DAS-4",$I$7:$I$13)</f>
        <v>0</v>
      </c>
    </row>
    <row r="17" spans="1:9" ht="15" customHeight="1" x14ac:dyDescent="0.25">
      <c r="A17" s="107" t="s">
        <v>199</v>
      </c>
      <c r="B17" s="97" t="s">
        <v>161</v>
      </c>
      <c r="C17" s="103">
        <f>SUMIFS($E$7:$E$13,$B$7:$B$13,"DAS-5",$D$7:$D$13,"&lt;&gt;VAGO")</f>
        <v>1</v>
      </c>
      <c r="D17" s="103">
        <f>SUMIFS($E$7:$E$13,$B$7:$B$13,"DAS-5",$D$7:$D$13,"VAGO")</f>
        <v>0</v>
      </c>
      <c r="E17" s="103">
        <f t="shared" si="0"/>
        <v>1</v>
      </c>
      <c r="F17" s="108"/>
      <c r="G17" s="105">
        <f>SUMIF($B$7:$B$13,"DAS-5",$G$7:$G$13)</f>
        <v>0</v>
      </c>
      <c r="H17" s="105">
        <f>SUMIF($B$7:$B$13,"DAS-5",$H$7:$H$13)</f>
        <v>1079.21</v>
      </c>
      <c r="I17" s="105">
        <f>SUMIF($B$7:$B$13,"DAS-5",$I$7:$I$13)</f>
        <v>4316.21</v>
      </c>
    </row>
    <row r="18" spans="1:9" ht="15" customHeight="1" x14ac:dyDescent="0.25">
      <c r="A18" s="107" t="s">
        <v>200</v>
      </c>
      <c r="B18" s="97" t="s">
        <v>201</v>
      </c>
      <c r="C18" s="103">
        <f>SUMIFS($E$7:$E$13,$B$7:$B$13,"CAA-1",$D$7:$D$13,"&lt;&gt;VAGO")</f>
        <v>0</v>
      </c>
      <c r="D18" s="103">
        <f>SUMIFS($E$7:$E$13,$B$7:$B$13,"CAA-1",$D$7:$D$13,"VAGO")</f>
        <v>0</v>
      </c>
      <c r="E18" s="103">
        <f t="shared" si="0"/>
        <v>0</v>
      </c>
      <c r="F18" s="108"/>
      <c r="G18" s="105">
        <f>SUMIF($B$7:$B$13,"CAA-1",$G$7:$G$13)</f>
        <v>0</v>
      </c>
      <c r="H18" s="105">
        <f>SUMIF($B$7:$B$13,"CAA-1",$H$7:$H$13)</f>
        <v>0</v>
      </c>
      <c r="I18" s="105">
        <f>SUMIF($B$7:$B$13,"CAA-1",$I$7:$I$13)</f>
        <v>0</v>
      </c>
    </row>
    <row r="19" spans="1:9" ht="15" customHeight="1" x14ac:dyDescent="0.25">
      <c r="A19" s="107" t="s">
        <v>202</v>
      </c>
      <c r="B19" s="97" t="s">
        <v>173</v>
      </c>
      <c r="C19" s="103">
        <f>SUMIFS($E$7:$E$13,$B$7:$B$13,"CAA-2",$D$7:$D$13,"&lt;&gt;VAGO")</f>
        <v>2</v>
      </c>
      <c r="D19" s="103">
        <f>SUMIFS($E$7:$E$13,$B$7:$B$13,"CAA-2",$D$7:$D$13,"VAGO")</f>
        <v>0</v>
      </c>
      <c r="E19" s="103">
        <f t="shared" si="0"/>
        <v>2</v>
      </c>
      <c r="F19" s="108"/>
      <c r="G19" s="105">
        <f>SUMIF($B$7:$B$13,"CAA-2",$G$7:$G$13)</f>
        <v>0</v>
      </c>
      <c r="H19" s="105">
        <f>SUMIF($B$7:$B$13,"CAA-2",$H$7:$H$13)</f>
        <v>1541.5</v>
      </c>
      <c r="I19" s="105">
        <f>SUMIF($B$7:$B$13,"CAA-2",$I$7:$I$13)</f>
        <v>6166.02</v>
      </c>
    </row>
    <row r="20" spans="1:9" ht="15" customHeight="1" x14ac:dyDescent="0.25">
      <c r="A20" s="107" t="s">
        <v>203</v>
      </c>
      <c r="B20" s="97" t="s">
        <v>165</v>
      </c>
      <c r="C20" s="103">
        <f>SUMIFS($E$7:$E$13,$B$7:$B$13,"CAA-3",$D$7:$D$13,"&lt;&gt;VAGO")</f>
        <v>0</v>
      </c>
      <c r="D20" s="103">
        <f>SUMIFS($E$7:$E$13,$B$7:$B$13,"CAA-3",$D$7:$D$13,"VAGO")</f>
        <v>0</v>
      </c>
      <c r="E20" s="103">
        <f t="shared" si="0"/>
        <v>0</v>
      </c>
      <c r="F20" s="106"/>
      <c r="G20" s="105">
        <f>SUMIF($B$7:$B$13,"CAA-3",$G$7:$G$13)</f>
        <v>0</v>
      </c>
      <c r="H20" s="105">
        <f>SUMIF($B$7:$B$13,"CAA-3",$H$7:$H$13)</f>
        <v>0</v>
      </c>
      <c r="I20" s="105">
        <f>SUMIF($B$7:$B$13,"CAA-3",$I$7:$I$13)</f>
        <v>0</v>
      </c>
    </row>
    <row r="21" spans="1:9" ht="15" customHeight="1" x14ac:dyDescent="0.25">
      <c r="A21" s="107" t="s">
        <v>204</v>
      </c>
      <c r="B21" s="97" t="s">
        <v>169</v>
      </c>
      <c r="C21" s="103">
        <f>SUMIFS($E$7:$E$13,$B$7:$B$13,"CAA-4",$D$7:$D$13,"&lt;&gt;VAGO")</f>
        <v>1</v>
      </c>
      <c r="D21" s="103">
        <f>SUMIFS($E$7:$E$13,$B$7:$B$13,"CAA-4",$D$7:$D$13,"VAGO")</f>
        <v>0</v>
      </c>
      <c r="E21" s="103">
        <f t="shared" si="0"/>
        <v>1</v>
      </c>
      <c r="F21" s="106"/>
      <c r="G21" s="105">
        <f>SUMIF($B$7:$B$13,"CAA-4",$G$7:$G$13)</f>
        <v>0</v>
      </c>
      <c r="H21" s="105">
        <f>SUMIF($B$7:$B$13,"CAA-4",$H$7:$H$13)</f>
        <v>308.3</v>
      </c>
      <c r="I21" s="105">
        <f>SUMIF($B$7:$B$13,"CAA-4",$I$7:$I$13)</f>
        <v>1288</v>
      </c>
    </row>
    <row r="22" spans="1:9" ht="15" customHeight="1" x14ac:dyDescent="0.25">
      <c r="A22" s="107" t="s">
        <v>205</v>
      </c>
      <c r="B22" s="97" t="s">
        <v>206</v>
      </c>
      <c r="C22" s="103">
        <f>SUMIFS($E$7:$E$13,$B$7:$B$13,"CAA-5",$D$7:$D$13,"&lt;&gt;VAGO")</f>
        <v>0</v>
      </c>
      <c r="D22" s="103">
        <f>SUMIFS($E$7:$E$13,$B$7:$B$13,"CAA-5",$D$7:$D$13,"VAGO")</f>
        <v>0</v>
      </c>
      <c r="E22" s="103">
        <f t="shared" si="0"/>
        <v>0</v>
      </c>
      <c r="F22" s="106"/>
      <c r="G22" s="105">
        <f>SUMIF($B$7:$B$13,"CAA-5",$G$7:$G$13)</f>
        <v>0</v>
      </c>
      <c r="H22" s="105">
        <f>SUMIF($B$7:$B$13,"CAA-5",$H$7:$H$13)</f>
        <v>0</v>
      </c>
      <c r="I22" s="105">
        <f>SUMIF($B$7:$B$13,"CAA-5",$I$7:$I$13)</f>
        <v>0</v>
      </c>
    </row>
    <row r="23" spans="1:9" ht="60" customHeight="1" x14ac:dyDescent="0.25">
      <c r="A23" s="99" t="s">
        <v>207</v>
      </c>
      <c r="B23" s="101"/>
      <c r="C23" s="100">
        <f ca="1">SUM(C12:C22)</f>
        <v>7</v>
      </c>
      <c r="D23" s="100">
        <f ca="1">SUM(D12:D22)</f>
        <v>0</v>
      </c>
      <c r="E23" s="100">
        <f ca="1">SUM(E12:E22)</f>
        <v>7</v>
      </c>
      <c r="F23" s="101"/>
      <c r="G23" s="109">
        <f ca="1">SUM(G12:G22)</f>
        <v>0</v>
      </c>
      <c r="H23" s="109">
        <f ca="1">SUM(H12:H22)</f>
        <v>12366.33</v>
      </c>
      <c r="I23" s="109">
        <f ca="1">SUM(I12:I22)</f>
        <v>23521.24</v>
      </c>
    </row>
    <row r="24" spans="1:9" x14ac:dyDescent="0.25">
      <c r="A24" s="110"/>
      <c r="B24" s="110"/>
      <c r="C24" s="110"/>
      <c r="D24" s="110"/>
      <c r="E24" s="110"/>
      <c r="F24" s="110"/>
      <c r="G24" s="110"/>
      <c r="H24" s="111"/>
      <c r="I24" s="111"/>
    </row>
    <row r="25" spans="1:9" x14ac:dyDescent="0.25">
      <c r="A25" s="160" t="s">
        <v>208</v>
      </c>
      <c r="B25" s="151"/>
      <c r="C25" s="151"/>
      <c r="D25" s="151"/>
      <c r="E25" s="151"/>
      <c r="F25" s="151"/>
      <c r="G25" s="151"/>
      <c r="H25" s="151"/>
      <c r="I25" s="152"/>
    </row>
    <row r="26" spans="1:9" ht="60" customHeight="1" x14ac:dyDescent="0.25">
      <c r="A26" s="93" t="s">
        <v>209</v>
      </c>
      <c r="B26" s="93" t="s">
        <v>210</v>
      </c>
      <c r="C26" s="93" t="s">
        <v>211</v>
      </c>
      <c r="D26" s="93" t="s">
        <v>212</v>
      </c>
      <c r="E26" s="93" t="s">
        <v>213</v>
      </c>
      <c r="F26" s="93" t="s">
        <v>214</v>
      </c>
      <c r="G26" s="93" t="s">
        <v>215</v>
      </c>
      <c r="H26" s="93" t="s">
        <v>216</v>
      </c>
      <c r="I26" s="93" t="s">
        <v>217</v>
      </c>
    </row>
    <row r="27" spans="1:9" ht="15" customHeight="1" x14ac:dyDescent="0.25">
      <c r="A27" s="112" t="s">
        <v>218</v>
      </c>
      <c r="B27" s="113" t="s">
        <v>219</v>
      </c>
      <c r="C27" s="96" t="s">
        <v>174</v>
      </c>
      <c r="D27" s="96" t="s">
        <v>17</v>
      </c>
      <c r="E27" s="97">
        <v>1</v>
      </c>
      <c r="F27" s="114" t="s">
        <v>220</v>
      </c>
      <c r="G27" s="98">
        <v>7691</v>
      </c>
      <c r="H27" s="98">
        <v>3083.01</v>
      </c>
      <c r="I27" s="115">
        <f t="shared" ref="I27:I30" si="1">SUM(G27:H27)</f>
        <v>10774.01</v>
      </c>
    </row>
    <row r="28" spans="1:9" ht="15" customHeight="1" x14ac:dyDescent="0.25">
      <c r="A28" s="112" t="s">
        <v>221</v>
      </c>
      <c r="B28" s="113" t="s">
        <v>222</v>
      </c>
      <c r="C28" s="96" t="s">
        <v>223</v>
      </c>
      <c r="D28" s="96" t="s">
        <v>17</v>
      </c>
      <c r="E28" s="97">
        <v>1</v>
      </c>
      <c r="F28" s="114" t="s">
        <v>224</v>
      </c>
      <c r="G28" s="98">
        <v>8479.33</v>
      </c>
      <c r="H28" s="98">
        <v>4316.21</v>
      </c>
      <c r="I28" s="115">
        <f t="shared" si="1"/>
        <v>12795.54</v>
      </c>
    </row>
    <row r="29" spans="1:9" ht="15" customHeight="1" x14ac:dyDescent="0.25">
      <c r="A29" s="112" t="s">
        <v>225</v>
      </c>
      <c r="B29" s="113" t="s">
        <v>222</v>
      </c>
      <c r="C29" s="96" t="s">
        <v>226</v>
      </c>
      <c r="D29" s="96" t="s">
        <v>17</v>
      </c>
      <c r="E29" s="97">
        <v>1</v>
      </c>
      <c r="F29" s="112" t="s">
        <v>227</v>
      </c>
      <c r="G29" s="98">
        <v>7691</v>
      </c>
      <c r="H29" s="98">
        <v>4316.21</v>
      </c>
      <c r="I29" s="115">
        <f t="shared" si="1"/>
        <v>12007.21</v>
      </c>
    </row>
    <row r="30" spans="1:9" ht="15" customHeight="1" x14ac:dyDescent="0.25">
      <c r="A30" s="112" t="s">
        <v>228</v>
      </c>
      <c r="B30" s="113" t="s">
        <v>222</v>
      </c>
      <c r="C30" s="96" t="s">
        <v>174</v>
      </c>
      <c r="D30" s="96" t="s">
        <v>17</v>
      </c>
      <c r="E30" s="97">
        <v>1</v>
      </c>
      <c r="F30" s="112" t="s">
        <v>229</v>
      </c>
      <c r="G30" s="98">
        <v>5933.35</v>
      </c>
      <c r="H30" s="98">
        <v>4316.21</v>
      </c>
      <c r="I30" s="115">
        <f t="shared" si="1"/>
        <v>10249.560000000001</v>
      </c>
    </row>
    <row r="31" spans="1:9" ht="60" customHeight="1" x14ac:dyDescent="0.25">
      <c r="A31" s="99" t="s">
        <v>230</v>
      </c>
      <c r="B31" s="99" t="s">
        <v>231</v>
      </c>
      <c r="C31" s="100" t="s">
        <v>232</v>
      </c>
      <c r="D31" s="100" t="s">
        <v>233</v>
      </c>
      <c r="E31" s="100" t="s">
        <v>234</v>
      </c>
      <c r="F31" s="116"/>
      <c r="G31" s="100" t="s">
        <v>235</v>
      </c>
      <c r="H31" s="100" t="s">
        <v>236</v>
      </c>
      <c r="I31" s="100" t="s">
        <v>237</v>
      </c>
    </row>
    <row r="32" spans="1:9" ht="15" customHeight="1" x14ac:dyDescent="0.25">
      <c r="A32" s="102" t="s">
        <v>238</v>
      </c>
      <c r="B32" s="117" t="s">
        <v>239</v>
      </c>
      <c r="C32" s="103">
        <f ca="1">SUMIFS($E$30:$E$33,$B$30:$B$33,"FDA",$D$30:$D$33,"&lt;&gt;VAGO")</f>
        <v>0</v>
      </c>
      <c r="D32" s="103">
        <f ca="1">SUMIFS($E$30:$E$33,$B$30:$B$33,"FDA",$D$30:$D$33,"VAGO")</f>
        <v>0</v>
      </c>
      <c r="E32" s="103">
        <f t="shared" ref="E32:E36" ca="1" si="2">C32+D32</f>
        <v>0</v>
      </c>
      <c r="F32" s="104"/>
      <c r="G32" s="115">
        <f ca="1">SUMIF($B$30:$B$33,"FDA",$G$30:$G$33)</f>
        <v>0</v>
      </c>
      <c r="H32" s="115">
        <f ca="1">SUMIF($B$30:$B$33,"FDA",$H$30:$H$33)</f>
        <v>0</v>
      </c>
      <c r="I32" s="115">
        <f ca="1">SUMIF($B$30:$B$33,"FDA",$I$30:$I$33)</f>
        <v>0</v>
      </c>
    </row>
    <row r="33" spans="1:9" ht="15" customHeight="1" x14ac:dyDescent="0.25">
      <c r="A33" s="102" t="s">
        <v>240</v>
      </c>
      <c r="B33" s="117" t="s">
        <v>241</v>
      </c>
      <c r="C33" s="103">
        <f ca="1">SUMIFS($E$30:$E$33,$B$30:$B$33,"FDA-1",$D$30:$D$33,"&lt;&gt;VAGO")</f>
        <v>0</v>
      </c>
      <c r="D33" s="103">
        <f ca="1">SUMIFS($E$30:$E$33,$B$30:$B$33,"FDA-1",$D$30:$D$33,"VAGO")</f>
        <v>0</v>
      </c>
      <c r="E33" s="103">
        <f t="shared" ca="1" si="2"/>
        <v>0</v>
      </c>
      <c r="F33" s="104"/>
      <c r="G33" s="115">
        <f ca="1">SUMIF($B$30:$B$33,"FDA-1",$G$30:$G$33)</f>
        <v>0</v>
      </c>
      <c r="H33" s="115">
        <f ca="1">SUMIF($B$30:$B$33,"FDA-1",$H$30:$H$33)</f>
        <v>0</v>
      </c>
      <c r="I33" s="115">
        <f ca="1">SUMIF($B$30:$B$33,"FDA-1",$I$30:$I$33)</f>
        <v>0</v>
      </c>
    </row>
    <row r="34" spans="1:9" ht="15" customHeight="1" x14ac:dyDescent="0.25">
      <c r="A34" s="102" t="s">
        <v>242</v>
      </c>
      <c r="B34" s="117" t="s">
        <v>243</v>
      </c>
      <c r="C34" s="103">
        <f>SUMIFS($E$30:$E$33,$B$30:$B$33,"FDA-2",$D$30:$D$33,"&lt;&gt;VAGO")</f>
        <v>0</v>
      </c>
      <c r="D34" s="103">
        <f>SUMIFS($E$30:$E$33,$B$30:$B$33,"FDA-2",$D$30:$D$33,"VAGO")</f>
        <v>0</v>
      </c>
      <c r="E34" s="103">
        <f t="shared" si="2"/>
        <v>0</v>
      </c>
      <c r="F34" s="106"/>
      <c r="G34" s="115">
        <f>SUMIF($B$30:$B$33,"FDA-2",$G$30:$G$33)</f>
        <v>0</v>
      </c>
      <c r="H34" s="115">
        <f>SUMIF($B$30:$B$33,"FDA-2",$H$30:$H$33)</f>
        <v>0</v>
      </c>
      <c r="I34" s="115">
        <f>SUMIF($B$30:$B$33,"FDA-2",$I$30:$I$33)</f>
        <v>0</v>
      </c>
    </row>
    <row r="35" spans="1:9" ht="15" customHeight="1" x14ac:dyDescent="0.25">
      <c r="A35" s="102" t="s">
        <v>244</v>
      </c>
      <c r="B35" s="117" t="s">
        <v>222</v>
      </c>
      <c r="C35" s="103">
        <f>SUMIFS($E$30:$E$33,$B$30:$B$33,"FDA-3",$D$30:$D$33,"&lt;&gt;VAGO")</f>
        <v>1</v>
      </c>
      <c r="D35" s="103">
        <f>SUMIFS($E$30:$E$33,$B$30:$B$33,"FDA-3",$D$30:$D$33,"VAGO")</f>
        <v>0</v>
      </c>
      <c r="E35" s="103">
        <f t="shared" si="2"/>
        <v>1</v>
      </c>
      <c r="F35" s="108"/>
      <c r="G35" s="115">
        <f>SUMIF($B$30:$B$33,"FDA-3",$G$30:$G$33)</f>
        <v>5933.35</v>
      </c>
      <c r="H35" s="115">
        <f>SUMIF($B$30:$B$33,"FDA-3",$H$30:$H$33)</f>
        <v>4316.21</v>
      </c>
      <c r="I35" s="115">
        <f>SUMIF($B$30:$B$33,"FDA-3",$I$30:$I$33)</f>
        <v>10249.560000000001</v>
      </c>
    </row>
    <row r="36" spans="1:9" ht="15" customHeight="1" x14ac:dyDescent="0.25">
      <c r="A36" s="102" t="s">
        <v>245</v>
      </c>
      <c r="B36" s="117" t="s">
        <v>219</v>
      </c>
      <c r="C36" s="103">
        <f>SUMIFS($E$30:$E$33,$B$30:$B$33,"FDA-4",$D$30:$D$33,"&lt;&gt;VAGO")</f>
        <v>0</v>
      </c>
      <c r="D36" s="103">
        <f>SUMIFS($E$30:$E$33,$B$30:$B$33,"FDA-4",$D$30:$D$33,"VAGO")</f>
        <v>0</v>
      </c>
      <c r="E36" s="103">
        <f t="shared" si="2"/>
        <v>0</v>
      </c>
      <c r="F36" s="106"/>
      <c r="G36" s="115">
        <f>SUMIF($B$30:$B$33,"FDA-4",$G$30:$G$33)</f>
        <v>0</v>
      </c>
      <c r="H36" s="115">
        <f>SUMIF($B$30:$B$33,"FDA-4",$H$30:$H$33)</f>
        <v>0</v>
      </c>
      <c r="I36" s="115">
        <f>SUMIF($B$30:$B$33,"FDA-4",$I$30:$I$33)</f>
        <v>0</v>
      </c>
    </row>
    <row r="37" spans="1:9" ht="60" customHeight="1" x14ac:dyDescent="0.25">
      <c r="A37" s="99" t="s">
        <v>246</v>
      </c>
      <c r="B37" s="116"/>
      <c r="C37" s="100">
        <f t="shared" ref="C37:E37" ca="1" si="3">SUM(C33:C36)</f>
        <v>4</v>
      </c>
      <c r="D37" s="100">
        <f t="shared" ca="1" si="3"/>
        <v>0</v>
      </c>
      <c r="E37" s="100">
        <f t="shared" ca="1" si="3"/>
        <v>4</v>
      </c>
      <c r="F37" s="116"/>
      <c r="G37" s="118">
        <f t="shared" ref="G37:I37" ca="1" si="4">SUM(G32:G36)</f>
        <v>28238.09</v>
      </c>
      <c r="H37" s="118">
        <f t="shared" ca="1" si="4"/>
        <v>13820.380000000001</v>
      </c>
      <c r="I37" s="118">
        <f t="shared" ca="1" si="4"/>
        <v>42058.47</v>
      </c>
    </row>
    <row r="38" spans="1:9" x14ac:dyDescent="0.25">
      <c r="A38" s="119"/>
      <c r="B38" s="119"/>
      <c r="C38" s="119"/>
      <c r="D38" s="119"/>
      <c r="E38" s="119"/>
      <c r="F38" s="119"/>
      <c r="G38" s="119"/>
      <c r="H38" s="119"/>
      <c r="I38" s="120"/>
    </row>
    <row r="39" spans="1:9" x14ac:dyDescent="0.25">
      <c r="A39" s="160" t="s">
        <v>247</v>
      </c>
      <c r="B39" s="151"/>
      <c r="C39" s="151"/>
      <c r="D39" s="151"/>
      <c r="E39" s="151"/>
      <c r="F39" s="151"/>
      <c r="G39" s="151"/>
      <c r="H39" s="151"/>
      <c r="I39" s="152"/>
    </row>
    <row r="40" spans="1:9" ht="45" x14ac:dyDescent="0.25">
      <c r="A40" s="121" t="s">
        <v>248</v>
      </c>
      <c r="B40" s="93" t="s">
        <v>249</v>
      </c>
      <c r="C40" s="93" t="s">
        <v>250</v>
      </c>
      <c r="D40" s="93" t="s">
        <v>251</v>
      </c>
      <c r="E40" s="93" t="s">
        <v>252</v>
      </c>
      <c r="F40" s="93" t="s">
        <v>253</v>
      </c>
      <c r="G40" s="93" t="s">
        <v>254</v>
      </c>
      <c r="H40" s="93" t="s">
        <v>255</v>
      </c>
      <c r="I40" s="93" t="s">
        <v>256</v>
      </c>
    </row>
    <row r="41" spans="1:9" ht="15" customHeight="1" x14ac:dyDescent="0.25">
      <c r="A41" s="122"/>
      <c r="B41" s="123" t="s">
        <v>257</v>
      </c>
      <c r="C41" s="123"/>
      <c r="D41" s="96" t="s">
        <v>17</v>
      </c>
      <c r="E41" s="97">
        <v>1</v>
      </c>
      <c r="F41" s="122" t="s">
        <v>258</v>
      </c>
      <c r="G41" s="98">
        <v>8075.56</v>
      </c>
      <c r="H41" s="98">
        <v>1392.8</v>
      </c>
      <c r="I41" s="115">
        <f>SUM(G41:H41)</f>
        <v>9468.36</v>
      </c>
    </row>
    <row r="42" spans="1:9" ht="15" customHeight="1" x14ac:dyDescent="0.25">
      <c r="A42" s="112"/>
      <c r="B42" s="123" t="s">
        <v>257</v>
      </c>
      <c r="C42" s="96"/>
      <c r="D42" s="96" t="s">
        <v>17</v>
      </c>
      <c r="E42" s="97">
        <v>1</v>
      </c>
      <c r="F42" s="112" t="s">
        <v>259</v>
      </c>
      <c r="G42" s="98">
        <v>7691</v>
      </c>
      <c r="H42" s="98">
        <v>1392.8</v>
      </c>
      <c r="I42" s="115">
        <f t="shared" ref="I42:I75" si="5">SUM(G42:H42)</f>
        <v>9083.7999999999993</v>
      </c>
    </row>
    <row r="43" spans="1:9" ht="15" customHeight="1" x14ac:dyDescent="0.25">
      <c r="A43" s="112"/>
      <c r="B43" s="123" t="s">
        <v>257</v>
      </c>
      <c r="C43" s="96"/>
      <c r="D43" s="96" t="s">
        <v>17</v>
      </c>
      <c r="E43" s="97">
        <v>1</v>
      </c>
      <c r="F43" s="112" t="s">
        <v>260</v>
      </c>
      <c r="G43" s="98">
        <v>8075.56</v>
      </c>
      <c r="H43" s="98">
        <v>1392.8</v>
      </c>
      <c r="I43" s="115">
        <f t="shared" si="5"/>
        <v>9468.36</v>
      </c>
    </row>
    <row r="44" spans="1:9" ht="15" customHeight="1" x14ac:dyDescent="0.25">
      <c r="A44" s="112"/>
      <c r="B44" s="123" t="s">
        <v>257</v>
      </c>
      <c r="C44" s="96"/>
      <c r="D44" s="96" t="s">
        <v>17</v>
      </c>
      <c r="E44" s="97">
        <v>1</v>
      </c>
      <c r="F44" s="112" t="s">
        <v>261</v>
      </c>
      <c r="G44" s="98">
        <v>7691</v>
      </c>
      <c r="H44" s="98">
        <v>1392.8</v>
      </c>
      <c r="I44" s="115">
        <f t="shared" si="5"/>
        <v>9083.7999999999993</v>
      </c>
    </row>
    <row r="45" spans="1:9" ht="15" customHeight="1" x14ac:dyDescent="0.25">
      <c r="A45" s="112"/>
      <c r="B45" s="123" t="s">
        <v>257</v>
      </c>
      <c r="C45" s="96"/>
      <c r="D45" s="96" t="s">
        <v>17</v>
      </c>
      <c r="E45" s="97">
        <v>1</v>
      </c>
      <c r="F45" s="112" t="s">
        <v>262</v>
      </c>
      <c r="G45" s="98">
        <v>8299.11</v>
      </c>
      <c r="H45" s="98">
        <v>1392.8</v>
      </c>
      <c r="I45" s="115">
        <f t="shared" si="5"/>
        <v>9691.91</v>
      </c>
    </row>
    <row r="46" spans="1:9" ht="15" customHeight="1" x14ac:dyDescent="0.25">
      <c r="A46" s="112"/>
      <c r="B46" s="123" t="s">
        <v>257</v>
      </c>
      <c r="C46" s="96"/>
      <c r="D46" s="96" t="s">
        <v>17</v>
      </c>
      <c r="E46" s="97">
        <v>1</v>
      </c>
      <c r="F46" s="112" t="s">
        <v>263</v>
      </c>
      <c r="G46" s="98">
        <v>8075.56</v>
      </c>
      <c r="H46" s="98">
        <v>1392.8</v>
      </c>
      <c r="I46" s="115">
        <f t="shared" si="5"/>
        <v>9468.36</v>
      </c>
    </row>
    <row r="47" spans="1:9" ht="15" customHeight="1" x14ac:dyDescent="0.25">
      <c r="A47" s="112"/>
      <c r="B47" s="123" t="s">
        <v>257</v>
      </c>
      <c r="C47" s="96"/>
      <c r="D47" s="96" t="s">
        <v>17</v>
      </c>
      <c r="E47" s="97">
        <v>1</v>
      </c>
      <c r="F47" s="112" t="s">
        <v>264</v>
      </c>
      <c r="G47" s="98">
        <v>7691</v>
      </c>
      <c r="H47" s="98">
        <v>1392.8</v>
      </c>
      <c r="I47" s="115">
        <f t="shared" si="5"/>
        <v>9083.7999999999993</v>
      </c>
    </row>
    <row r="48" spans="1:9" ht="15" customHeight="1" x14ac:dyDescent="0.25">
      <c r="A48" s="112"/>
      <c r="B48" s="123" t="s">
        <v>257</v>
      </c>
      <c r="C48" s="96"/>
      <c r="D48" s="96" t="s">
        <v>17</v>
      </c>
      <c r="E48" s="97">
        <v>1</v>
      </c>
      <c r="F48" s="112" t="s">
        <v>265</v>
      </c>
      <c r="G48" s="98">
        <v>7691</v>
      </c>
      <c r="H48" s="98">
        <v>1392.8</v>
      </c>
      <c r="I48" s="115">
        <f t="shared" si="5"/>
        <v>9083.7999999999993</v>
      </c>
    </row>
    <row r="49" spans="1:9" ht="15" customHeight="1" x14ac:dyDescent="0.25">
      <c r="A49" s="112"/>
      <c r="B49" s="123" t="s">
        <v>257</v>
      </c>
      <c r="C49" s="96"/>
      <c r="D49" s="96" t="s">
        <v>17</v>
      </c>
      <c r="E49" s="97">
        <v>1</v>
      </c>
      <c r="F49" s="112" t="s">
        <v>266</v>
      </c>
      <c r="G49" s="98">
        <v>8075.56</v>
      </c>
      <c r="H49" s="98">
        <v>1392.8</v>
      </c>
      <c r="I49" s="115">
        <f t="shared" si="5"/>
        <v>9468.36</v>
      </c>
    </row>
    <row r="50" spans="1:9" ht="15" customHeight="1" x14ac:dyDescent="0.25">
      <c r="A50" s="112"/>
      <c r="B50" s="123" t="s">
        <v>257</v>
      </c>
      <c r="C50" s="96"/>
      <c r="D50" s="96" t="s">
        <v>17</v>
      </c>
      <c r="E50" s="97">
        <v>1</v>
      </c>
      <c r="F50" s="112" t="s">
        <v>267</v>
      </c>
      <c r="G50" s="98">
        <v>8075.56</v>
      </c>
      <c r="H50" s="98">
        <v>1392.8</v>
      </c>
      <c r="I50" s="115">
        <f t="shared" si="5"/>
        <v>9468.36</v>
      </c>
    </row>
    <row r="51" spans="1:9" ht="15" customHeight="1" x14ac:dyDescent="0.25">
      <c r="A51" s="112"/>
      <c r="B51" s="123" t="s">
        <v>257</v>
      </c>
      <c r="C51" s="96"/>
      <c r="D51" s="96" t="s">
        <v>17</v>
      </c>
      <c r="E51" s="97">
        <v>1</v>
      </c>
      <c r="F51" s="112" t="s">
        <v>268</v>
      </c>
      <c r="G51" s="98">
        <v>7691</v>
      </c>
      <c r="H51" s="98">
        <v>1392.8</v>
      </c>
      <c r="I51" s="115">
        <f t="shared" si="5"/>
        <v>9083.7999999999993</v>
      </c>
    </row>
    <row r="52" spans="1:9" ht="15" customHeight="1" x14ac:dyDescent="0.25">
      <c r="A52" s="112"/>
      <c r="B52" s="123" t="s">
        <v>257</v>
      </c>
      <c r="C52" s="96"/>
      <c r="D52" s="96" t="s">
        <v>17</v>
      </c>
      <c r="E52" s="97">
        <v>1</v>
      </c>
      <c r="F52" s="112" t="s">
        <v>269</v>
      </c>
      <c r="G52" s="98">
        <v>2295.89</v>
      </c>
      <c r="H52" s="98">
        <v>1392.8</v>
      </c>
      <c r="I52" s="115">
        <f t="shared" si="5"/>
        <v>3688.6899999999996</v>
      </c>
    </row>
    <row r="53" spans="1:9" ht="15" customHeight="1" x14ac:dyDescent="0.25">
      <c r="A53" s="112"/>
      <c r="B53" s="123" t="s">
        <v>257</v>
      </c>
      <c r="C53" s="96"/>
      <c r="D53" s="96" t="s">
        <v>17</v>
      </c>
      <c r="E53" s="97">
        <v>1</v>
      </c>
      <c r="F53" s="112" t="s">
        <v>270</v>
      </c>
      <c r="G53" s="98">
        <v>5125.45</v>
      </c>
      <c r="H53" s="98">
        <v>1392.8</v>
      </c>
      <c r="I53" s="115">
        <f>SUM(G53:H53)</f>
        <v>6518.25</v>
      </c>
    </row>
    <row r="54" spans="1:9" ht="15" customHeight="1" x14ac:dyDescent="0.25">
      <c r="A54" s="112"/>
      <c r="B54" s="123" t="s">
        <v>257</v>
      </c>
      <c r="C54" s="96"/>
      <c r="D54" s="96" t="s">
        <v>17</v>
      </c>
      <c r="E54" s="97">
        <v>1</v>
      </c>
      <c r="F54" s="112" t="s">
        <v>271</v>
      </c>
      <c r="G54" s="98">
        <v>5125.45</v>
      </c>
      <c r="H54" s="98">
        <v>1392.8</v>
      </c>
      <c r="I54" s="115">
        <f t="shared" si="5"/>
        <v>6518.25</v>
      </c>
    </row>
    <row r="55" spans="1:9" ht="15" customHeight="1" x14ac:dyDescent="0.25">
      <c r="A55" s="112"/>
      <c r="B55" s="123" t="s">
        <v>257</v>
      </c>
      <c r="C55" s="96"/>
      <c r="D55" s="96" t="s">
        <v>17</v>
      </c>
      <c r="E55" s="97">
        <v>1</v>
      </c>
      <c r="F55" s="112" t="s">
        <v>272</v>
      </c>
      <c r="G55" s="98">
        <v>5933.35</v>
      </c>
      <c r="H55" s="98">
        <v>1392.8</v>
      </c>
      <c r="I55" s="115">
        <f t="shared" si="5"/>
        <v>7326.1500000000005</v>
      </c>
    </row>
    <row r="56" spans="1:9" ht="15" customHeight="1" x14ac:dyDescent="0.25">
      <c r="A56" s="112"/>
      <c r="B56" s="123" t="s">
        <v>257</v>
      </c>
      <c r="C56" s="96"/>
      <c r="D56" s="96" t="s">
        <v>17</v>
      </c>
      <c r="E56" s="97">
        <v>1</v>
      </c>
      <c r="F56" s="112" t="s">
        <v>273</v>
      </c>
      <c r="G56" s="98">
        <v>5125.45</v>
      </c>
      <c r="H56" s="98">
        <v>1392.8</v>
      </c>
      <c r="I56" s="115">
        <f t="shared" si="5"/>
        <v>6518.25</v>
      </c>
    </row>
    <row r="57" spans="1:9" ht="15" customHeight="1" x14ac:dyDescent="0.25">
      <c r="A57" s="112"/>
      <c r="B57" s="123" t="s">
        <v>257</v>
      </c>
      <c r="C57" s="96"/>
      <c r="D57" s="96" t="s">
        <v>17</v>
      </c>
      <c r="E57" s="97">
        <v>1</v>
      </c>
      <c r="F57" s="112" t="s">
        <v>274</v>
      </c>
      <c r="G57" s="98">
        <v>5404.89</v>
      </c>
      <c r="H57" s="98">
        <v>1392.8</v>
      </c>
      <c r="I57" s="115">
        <f t="shared" si="5"/>
        <v>6797.6900000000005</v>
      </c>
    </row>
    <row r="58" spans="1:9" ht="15" customHeight="1" x14ac:dyDescent="0.25">
      <c r="A58" s="112"/>
      <c r="B58" s="123" t="s">
        <v>257</v>
      </c>
      <c r="C58" s="96"/>
      <c r="D58" s="96" t="s">
        <v>17</v>
      </c>
      <c r="E58" s="97">
        <v>1</v>
      </c>
      <c r="F58" s="112" t="s">
        <v>275</v>
      </c>
      <c r="G58" s="98">
        <v>5298.9</v>
      </c>
      <c r="H58" s="98">
        <v>1392.8</v>
      </c>
      <c r="I58" s="115">
        <f t="shared" si="5"/>
        <v>6691.7</v>
      </c>
    </row>
    <row r="59" spans="1:9" ht="15" customHeight="1" x14ac:dyDescent="0.25">
      <c r="A59" s="112"/>
      <c r="B59" s="123" t="s">
        <v>257</v>
      </c>
      <c r="C59" s="96"/>
      <c r="D59" s="96" t="s">
        <v>20</v>
      </c>
      <c r="E59" s="97">
        <v>1</v>
      </c>
      <c r="F59" s="112" t="s">
        <v>276</v>
      </c>
      <c r="G59" s="98">
        <v>0</v>
      </c>
      <c r="H59" s="98">
        <v>1392.8</v>
      </c>
      <c r="I59" s="115">
        <f t="shared" si="5"/>
        <v>1392.8</v>
      </c>
    </row>
    <row r="60" spans="1:9" ht="15" customHeight="1" x14ac:dyDescent="0.25">
      <c r="A60" s="112"/>
      <c r="B60" s="123" t="s">
        <v>257</v>
      </c>
      <c r="C60" s="96"/>
      <c r="D60" s="96" t="s">
        <v>20</v>
      </c>
      <c r="E60" s="97">
        <v>1</v>
      </c>
      <c r="F60" s="112" t="s">
        <v>277</v>
      </c>
      <c r="G60" s="98">
        <v>0</v>
      </c>
      <c r="H60" s="98">
        <v>1392.8</v>
      </c>
      <c r="I60" s="115">
        <f t="shared" si="5"/>
        <v>1392.8</v>
      </c>
    </row>
    <row r="61" spans="1:9" ht="15" customHeight="1" x14ac:dyDescent="0.25">
      <c r="A61" s="112"/>
      <c r="B61" s="123" t="s">
        <v>72</v>
      </c>
      <c r="C61" s="96"/>
      <c r="D61" s="96" t="s">
        <v>17</v>
      </c>
      <c r="E61" s="97">
        <v>1</v>
      </c>
      <c r="F61" s="112" t="s">
        <v>278</v>
      </c>
      <c r="G61" s="98">
        <v>8479.33</v>
      </c>
      <c r="H61" s="98">
        <v>849.76</v>
      </c>
      <c r="I61" s="115">
        <f t="shared" si="5"/>
        <v>9329.09</v>
      </c>
    </row>
    <row r="62" spans="1:9" ht="15" customHeight="1" x14ac:dyDescent="0.25">
      <c r="A62" s="112"/>
      <c r="B62" s="123" t="s">
        <v>72</v>
      </c>
      <c r="C62" s="96"/>
      <c r="D62" s="96" t="s">
        <v>17</v>
      </c>
      <c r="E62" s="97">
        <v>1</v>
      </c>
      <c r="F62" s="112" t="s">
        <v>279</v>
      </c>
      <c r="G62" s="98">
        <v>5675.13</v>
      </c>
      <c r="H62" s="98">
        <v>849.76</v>
      </c>
      <c r="I62" s="115">
        <f t="shared" si="5"/>
        <v>6524.89</v>
      </c>
    </row>
    <row r="63" spans="1:9" ht="15" customHeight="1" x14ac:dyDescent="0.25">
      <c r="A63" s="112"/>
      <c r="B63" s="123" t="s">
        <v>72</v>
      </c>
      <c r="C63" s="96"/>
      <c r="D63" s="96" t="s">
        <v>17</v>
      </c>
      <c r="E63" s="97">
        <v>1</v>
      </c>
      <c r="F63" s="112" t="s">
        <v>280</v>
      </c>
      <c r="G63" s="98">
        <v>5675.13</v>
      </c>
      <c r="H63" s="98">
        <v>849.76</v>
      </c>
      <c r="I63" s="115">
        <f t="shared" si="5"/>
        <v>6524.89</v>
      </c>
    </row>
    <row r="64" spans="1:9" ht="15" customHeight="1" x14ac:dyDescent="0.25">
      <c r="A64" s="112"/>
      <c r="B64" s="123" t="s">
        <v>281</v>
      </c>
      <c r="C64" s="96"/>
      <c r="D64" s="96" t="s">
        <v>17</v>
      </c>
      <c r="E64" s="97">
        <v>1</v>
      </c>
      <c r="F64" s="112" t="s">
        <v>282</v>
      </c>
      <c r="G64" s="98">
        <v>2531.2199999999998</v>
      </c>
      <c r="H64" s="98">
        <v>505.81</v>
      </c>
      <c r="I64" s="115">
        <f t="shared" si="5"/>
        <v>3037.0299999999997</v>
      </c>
    </row>
    <row r="65" spans="1:9" ht="15" customHeight="1" x14ac:dyDescent="0.25">
      <c r="A65" s="112"/>
      <c r="B65" s="123" t="s">
        <v>281</v>
      </c>
      <c r="C65" s="96"/>
      <c r="D65" s="96" t="s">
        <v>17</v>
      </c>
      <c r="E65" s="97">
        <v>1</v>
      </c>
      <c r="F65" s="112" t="s">
        <v>283</v>
      </c>
      <c r="G65" s="98">
        <v>2295.89</v>
      </c>
      <c r="H65" s="98">
        <v>505.81</v>
      </c>
      <c r="I65" s="115">
        <f t="shared" si="5"/>
        <v>2801.7</v>
      </c>
    </row>
    <row r="66" spans="1:9" ht="15" customHeight="1" x14ac:dyDescent="0.25">
      <c r="A66" s="122"/>
      <c r="B66" s="123" t="s">
        <v>281</v>
      </c>
      <c r="C66" s="96"/>
      <c r="D66" s="96" t="s">
        <v>20</v>
      </c>
      <c r="E66" s="97">
        <v>1</v>
      </c>
      <c r="F66" s="112" t="s">
        <v>284</v>
      </c>
      <c r="G66" s="98">
        <v>0</v>
      </c>
      <c r="H66" s="98">
        <v>505.81</v>
      </c>
      <c r="I66" s="115">
        <f t="shared" si="5"/>
        <v>505.81</v>
      </c>
    </row>
    <row r="67" spans="1:9" ht="15" customHeight="1" x14ac:dyDescent="0.25">
      <c r="A67" s="122"/>
      <c r="B67" s="123" t="s">
        <v>281</v>
      </c>
      <c r="C67" s="123"/>
      <c r="D67" s="96" t="s">
        <v>20</v>
      </c>
      <c r="E67" s="97">
        <v>1</v>
      </c>
      <c r="F67" s="114" t="s">
        <v>285</v>
      </c>
      <c r="G67" s="98">
        <v>0</v>
      </c>
      <c r="H67" s="98">
        <v>505.81</v>
      </c>
      <c r="I67" s="115">
        <f t="shared" si="5"/>
        <v>505.81</v>
      </c>
    </row>
    <row r="68" spans="1:9" ht="15" customHeight="1" x14ac:dyDescent="0.25">
      <c r="A68" s="122"/>
      <c r="B68" s="123" t="s">
        <v>281</v>
      </c>
      <c r="C68" s="123"/>
      <c r="D68" s="96" t="s">
        <v>17</v>
      </c>
      <c r="E68" s="97">
        <v>1</v>
      </c>
      <c r="F68" s="114" t="s">
        <v>286</v>
      </c>
      <c r="G68" s="98">
        <v>5650.81</v>
      </c>
      <c r="H68" s="98">
        <v>505.81</v>
      </c>
      <c r="I68" s="115">
        <f t="shared" si="5"/>
        <v>6156.6200000000008</v>
      </c>
    </row>
    <row r="69" spans="1:9" ht="15" customHeight="1" x14ac:dyDescent="0.25">
      <c r="A69" s="122"/>
      <c r="B69" s="123" t="s">
        <v>287</v>
      </c>
      <c r="C69" s="123"/>
      <c r="D69" s="96" t="s">
        <v>17</v>
      </c>
      <c r="E69" s="97">
        <v>1</v>
      </c>
      <c r="F69" s="122" t="s">
        <v>288</v>
      </c>
      <c r="G69" s="98">
        <v>7691</v>
      </c>
      <c r="H69" s="98">
        <v>465.35</v>
      </c>
      <c r="I69" s="115">
        <f t="shared" si="5"/>
        <v>8156.35</v>
      </c>
    </row>
    <row r="70" spans="1:9" ht="15" customHeight="1" x14ac:dyDescent="0.25">
      <c r="A70" s="122"/>
      <c r="B70" s="123" t="s">
        <v>287</v>
      </c>
      <c r="C70" s="123"/>
      <c r="D70" s="96" t="s">
        <v>20</v>
      </c>
      <c r="E70" s="97">
        <v>1</v>
      </c>
      <c r="F70" s="122" t="s">
        <v>289</v>
      </c>
      <c r="G70" s="98">
        <v>0</v>
      </c>
      <c r="H70" s="98">
        <v>465.35</v>
      </c>
      <c r="I70" s="115">
        <f t="shared" si="5"/>
        <v>465.35</v>
      </c>
    </row>
    <row r="71" spans="1:9" ht="15" customHeight="1" x14ac:dyDescent="0.25">
      <c r="A71" s="122"/>
      <c r="B71" s="123" t="s">
        <v>287</v>
      </c>
      <c r="C71" s="123"/>
      <c r="D71" s="96" t="s">
        <v>20</v>
      </c>
      <c r="E71" s="97">
        <v>1</v>
      </c>
      <c r="F71" s="122" t="s">
        <v>290</v>
      </c>
      <c r="G71" s="98">
        <v>0</v>
      </c>
      <c r="H71" s="98">
        <v>465.35</v>
      </c>
      <c r="I71" s="115">
        <f t="shared" si="5"/>
        <v>465.35</v>
      </c>
    </row>
    <row r="72" spans="1:9" ht="15" customHeight="1" x14ac:dyDescent="0.25">
      <c r="A72" s="122"/>
      <c r="B72" s="123" t="s">
        <v>287</v>
      </c>
      <c r="C72" s="123"/>
      <c r="D72" s="96" t="s">
        <v>20</v>
      </c>
      <c r="E72" s="97">
        <v>1</v>
      </c>
      <c r="F72" s="122" t="s">
        <v>291</v>
      </c>
      <c r="G72" s="98">
        <v>0</v>
      </c>
      <c r="H72" s="98">
        <v>465.35</v>
      </c>
      <c r="I72" s="115">
        <f t="shared" si="5"/>
        <v>465.35</v>
      </c>
    </row>
    <row r="73" spans="1:9" ht="15" customHeight="1" x14ac:dyDescent="0.25">
      <c r="A73" s="122"/>
      <c r="B73" s="123" t="s">
        <v>287</v>
      </c>
      <c r="C73" s="123"/>
      <c r="D73" s="96" t="s">
        <v>20</v>
      </c>
      <c r="E73" s="97">
        <v>1</v>
      </c>
      <c r="F73" s="122" t="s">
        <v>292</v>
      </c>
      <c r="G73" s="98">
        <v>0</v>
      </c>
      <c r="H73" s="98">
        <v>1392.8</v>
      </c>
      <c r="I73" s="115">
        <f t="shared" si="5"/>
        <v>1392.8</v>
      </c>
    </row>
    <row r="74" spans="1:9" ht="15" customHeight="1" x14ac:dyDescent="0.25">
      <c r="A74" s="122"/>
      <c r="B74" s="123" t="s">
        <v>287</v>
      </c>
      <c r="C74" s="123"/>
      <c r="D74" s="96" t="s">
        <v>20</v>
      </c>
      <c r="E74" s="97">
        <v>1</v>
      </c>
      <c r="F74" s="122" t="s">
        <v>293</v>
      </c>
      <c r="G74" s="98">
        <v>0</v>
      </c>
      <c r="H74" s="98">
        <v>465.35</v>
      </c>
      <c r="I74" s="115">
        <f t="shared" si="5"/>
        <v>465.35</v>
      </c>
    </row>
    <row r="75" spans="1:9" ht="15" customHeight="1" x14ac:dyDescent="0.25">
      <c r="A75" s="122"/>
      <c r="B75" s="123" t="s">
        <v>287</v>
      </c>
      <c r="C75" s="123"/>
      <c r="D75" s="96" t="s">
        <v>20</v>
      </c>
      <c r="E75" s="97">
        <v>1</v>
      </c>
      <c r="F75" s="122" t="s">
        <v>294</v>
      </c>
      <c r="G75" s="98">
        <v>0</v>
      </c>
      <c r="H75" s="98">
        <v>465.35</v>
      </c>
      <c r="I75" s="115">
        <f t="shared" si="5"/>
        <v>465.35</v>
      </c>
    </row>
    <row r="76" spans="1:9" ht="60" customHeight="1" x14ac:dyDescent="0.25">
      <c r="A76" s="99" t="s">
        <v>295</v>
      </c>
      <c r="B76" s="99" t="s">
        <v>296</v>
      </c>
      <c r="C76" s="100" t="s">
        <v>297</v>
      </c>
      <c r="D76" s="100" t="s">
        <v>298</v>
      </c>
      <c r="E76" s="100" t="s">
        <v>299</v>
      </c>
      <c r="F76" s="116"/>
      <c r="G76" s="100" t="s">
        <v>300</v>
      </c>
      <c r="H76" s="100" t="s">
        <v>301</v>
      </c>
      <c r="I76" s="100" t="s">
        <v>302</v>
      </c>
    </row>
    <row r="77" spans="1:9" ht="15" customHeight="1" x14ac:dyDescent="0.25">
      <c r="A77" s="102" t="s">
        <v>303</v>
      </c>
      <c r="B77" s="117" t="s">
        <v>257</v>
      </c>
      <c r="C77" s="103">
        <f ca="1">SUMIFS($E$44:$E$78,$B$44:$B$78,"FGS-1",$D$44:$D$78,"&lt;&gt;VAGO")</f>
        <v>20</v>
      </c>
      <c r="D77" s="103">
        <f ca="1">SUMIFS($E$44:$E$78,$B$44:$B$78,"FGS-1",$D$44:$D$78,"VAGO")</f>
        <v>0</v>
      </c>
      <c r="E77" s="103">
        <f t="shared" ref="E77:E82" ca="1" si="6">C77+D77</f>
        <v>20</v>
      </c>
      <c r="F77" s="104"/>
      <c r="G77" s="115">
        <f>SUMIF($B$44:$B$63,"FGS-1",$G$44:$G$63)</f>
        <v>97599.169999999984</v>
      </c>
      <c r="H77" s="115">
        <f>SUMIF($B$44:$B$63,"FGS-1",$H$44:$H$63)</f>
        <v>23677.599999999991</v>
      </c>
      <c r="I77" s="115">
        <f>SUMIF($B$44:$B$63,"FGS-1",$I$44:$I$63)</f>
        <v>121276.77</v>
      </c>
    </row>
    <row r="78" spans="1:9" ht="15" customHeight="1" x14ac:dyDescent="0.25">
      <c r="A78" s="102" t="s">
        <v>304</v>
      </c>
      <c r="B78" s="117" t="s">
        <v>305</v>
      </c>
      <c r="C78" s="103">
        <f>SUMIFS($E$44:$E$78,$B$44:$B$78,"FGS-2",$D$44:$D$78,"&lt;&gt;VAGO")</f>
        <v>3</v>
      </c>
      <c r="D78" s="103">
        <f>SUMIFS($E$44:$E$78,$B$44:$B$78,"FGS-2",$D$44:$D$78,"VAGO")</f>
        <v>0</v>
      </c>
      <c r="E78" s="103">
        <f t="shared" si="6"/>
        <v>3</v>
      </c>
      <c r="F78" s="106"/>
      <c r="G78" s="115">
        <f>SUMIF($B$64:$B$66,"FGS-2",$G$64:$G$66)</f>
        <v>0</v>
      </c>
      <c r="H78" s="115">
        <f>SUMIF($B$64:$B$66,"FGS-2",$H$64:$H$66)</f>
        <v>0</v>
      </c>
      <c r="I78" s="115">
        <f>SUMIF($B$64:$B$66,"FGS-2",$I$64:$I$66)</f>
        <v>0</v>
      </c>
    </row>
    <row r="79" spans="1:9" ht="15" customHeight="1" x14ac:dyDescent="0.25">
      <c r="A79" s="102" t="s">
        <v>306</v>
      </c>
      <c r="B79" s="117" t="s">
        <v>307</v>
      </c>
      <c r="C79" s="103">
        <f>SUMIFS($E$44:$E$78,$B$44:$B$78,"FGS-3",$D$44:$D$78,"&lt;&gt;VAGO")</f>
        <v>0</v>
      </c>
      <c r="D79" s="103">
        <f>SUMIFS($E$44:$E$78,$B$44:$B$78,"FGS-3",$D$44:$D$78,"VAGO")</f>
        <v>0</v>
      </c>
      <c r="E79" s="103">
        <f t="shared" si="6"/>
        <v>0</v>
      </c>
      <c r="F79" s="106"/>
      <c r="G79" s="115">
        <f>SUMIF($B$44:$B$78,"FGS-3",$G$44:$G$78)</f>
        <v>0</v>
      </c>
      <c r="H79" s="115">
        <f>SUMIF($B$44:$B$78,"FGS-3",$G$44:$G$78)</f>
        <v>0</v>
      </c>
      <c r="I79" s="115">
        <f>SUMIF($B$44:$B$78,"FGS-3",$G$44:$G$78)</f>
        <v>0</v>
      </c>
    </row>
    <row r="80" spans="1:9" ht="15" customHeight="1" x14ac:dyDescent="0.25">
      <c r="A80" s="107" t="s">
        <v>308</v>
      </c>
      <c r="B80" s="124" t="s">
        <v>309</v>
      </c>
      <c r="C80" s="103">
        <f>SUMIFS($E$44:$E$78,$B$44:$B$78,"FGA-1",$D$44:$D$78,"&lt;&gt;VAGO")</f>
        <v>5</v>
      </c>
      <c r="D80" s="103">
        <f>SUMIFS($E$44:$E$78,$B$44:$B$78,"FGA-1",$D$44:$D$78,"VAGO")</f>
        <v>0</v>
      </c>
      <c r="E80" s="103">
        <f t="shared" si="6"/>
        <v>5</v>
      </c>
      <c r="F80" s="108"/>
      <c r="G80" s="115">
        <f>SUMIF($B$67:$B$71,"FGA-1",$G$67:$G$71)</f>
        <v>5650.81</v>
      </c>
      <c r="H80" s="115">
        <f>SUMIF($B$67:$B$71,"FGA-1",$H$67:$H$71)</f>
        <v>1011.62</v>
      </c>
      <c r="I80" s="115">
        <f>SUMIF($B$67:$B$71,"FGA-1",$I$67:$I$71)</f>
        <v>6662.4300000000012</v>
      </c>
    </row>
    <row r="81" spans="1:9" ht="15" customHeight="1" x14ac:dyDescent="0.25">
      <c r="A81" s="102" t="s">
        <v>310</v>
      </c>
      <c r="B81" s="117" t="s">
        <v>287</v>
      </c>
      <c r="C81" s="103">
        <f>SUMIFS($E$44:$E$78,$B$44:$B$78,"FGA-2",$D$44:$D$78,"&lt;&gt;VAGO")</f>
        <v>7</v>
      </c>
      <c r="D81" s="103">
        <f>SUMIFS($E$44:$E$78,$B$44:$B$78,"FGA-2",$D$44:$D$78,"VAGO")</f>
        <v>0</v>
      </c>
      <c r="E81" s="103">
        <f t="shared" si="6"/>
        <v>7</v>
      </c>
      <c r="F81" s="108"/>
      <c r="G81" s="115">
        <f>SUMIF($B$72:$B$78,"FGA-2",$G$72:$G$78)</f>
        <v>0</v>
      </c>
      <c r="H81" s="115">
        <f>SUMIF($B$72:$B$78,"FGA-2",$H$72:$H$78)</f>
        <v>2788.85</v>
      </c>
      <c r="I81" s="115">
        <f>SUMIF($B$72:$B$78,"FGA-2",$I$72:$I$78)</f>
        <v>2788.85</v>
      </c>
    </row>
    <row r="82" spans="1:9" ht="15" customHeight="1" x14ac:dyDescent="0.25">
      <c r="A82" s="102" t="s">
        <v>311</v>
      </c>
      <c r="B82" s="117" t="s">
        <v>312</v>
      </c>
      <c r="C82" s="103">
        <f>SUMIFS($E$44:$E$78,$B$44:$B$78,"FGA-3",$D$44:$D$78,"&lt;&gt;VAGO")</f>
        <v>0</v>
      </c>
      <c r="D82" s="103">
        <f>SUMIFS($E$44:$E$78,$B$44:$B$78,"FGA-3",$D$44:$D$78,"VAGO")</f>
        <v>0</v>
      </c>
      <c r="E82" s="103">
        <f t="shared" si="6"/>
        <v>0</v>
      </c>
      <c r="F82" s="106"/>
      <c r="G82" s="115">
        <f>SUMIF($B$44:$B$78,"FGA-3",$G$44:$G$78)</f>
        <v>0</v>
      </c>
      <c r="H82" s="115">
        <f>SUMIF($B$44:$B$78,"FGA-3",$G$44:$G$78)</f>
        <v>0</v>
      </c>
      <c r="I82" s="115">
        <f>SUMIF($B$44:$B$78,"FGA-3",$G$44:$G$78)</f>
        <v>0</v>
      </c>
    </row>
    <row r="83" spans="1:9" ht="39.950000000000003" customHeight="1" x14ac:dyDescent="0.25">
      <c r="A83" s="99" t="s">
        <v>313</v>
      </c>
      <c r="B83" s="116"/>
      <c r="C83" s="100">
        <f t="shared" ref="C83:E83" ca="1" si="7">SUM(C77:C82)</f>
        <v>35</v>
      </c>
      <c r="D83" s="100">
        <f t="shared" ca="1" si="7"/>
        <v>0</v>
      </c>
      <c r="E83" s="100">
        <f t="shared" ca="1" si="7"/>
        <v>35</v>
      </c>
      <c r="F83" s="116"/>
      <c r="G83" s="118">
        <f>SUM(G77:G82)</f>
        <v>103249.97999999998</v>
      </c>
      <c r="H83" s="118">
        <f>SUM(H77:H82)</f>
        <v>27478.069999999989</v>
      </c>
      <c r="I83" s="118">
        <f>SUM(I77:I82)</f>
        <v>130728.05000000002</v>
      </c>
    </row>
    <row r="84" spans="1:9" x14ac:dyDescent="0.25">
      <c r="A84" s="110"/>
      <c r="B84" s="110"/>
      <c r="C84" s="110"/>
      <c r="D84" s="110"/>
      <c r="E84" s="110"/>
      <c r="F84" s="110"/>
      <c r="G84" s="110"/>
      <c r="H84" s="110"/>
      <c r="I84" s="125"/>
    </row>
    <row r="85" spans="1:9" ht="88.5" customHeight="1" x14ac:dyDescent="0.25">
      <c r="A85" s="99"/>
      <c r="B85" s="99"/>
      <c r="C85" s="100" t="s">
        <v>314</v>
      </c>
      <c r="D85" s="100" t="s">
        <v>315</v>
      </c>
      <c r="E85" s="100" t="s">
        <v>316</v>
      </c>
      <c r="F85" s="101"/>
      <c r="G85" s="100" t="s">
        <v>317</v>
      </c>
      <c r="H85" s="100" t="s">
        <v>318</v>
      </c>
      <c r="I85" s="100" t="s">
        <v>319</v>
      </c>
    </row>
    <row r="86" spans="1:9" ht="88.5" customHeight="1" x14ac:dyDescent="0.25">
      <c r="A86" s="99" t="s">
        <v>320</v>
      </c>
      <c r="B86" s="101"/>
      <c r="C86" s="100">
        <f ca="1">SUM(C23+C37+C83)</f>
        <v>46</v>
      </c>
      <c r="D86" s="100">
        <f ca="1">SUM(D23+D37+D83)</f>
        <v>0</v>
      </c>
      <c r="E86" s="100">
        <f ca="1">SUM(E23+E37+E83)</f>
        <v>46</v>
      </c>
      <c r="F86" s="101"/>
      <c r="G86" s="118">
        <f ca="1">SUM(H23+G37+G83)</f>
        <v>185959.39</v>
      </c>
      <c r="H86" s="118">
        <f ca="1">SUM(I23+H37+H83)</f>
        <v>68541.39</v>
      </c>
      <c r="I86" s="118">
        <f ca="1">SUM(J23+I37+I83)</f>
        <v>254500.78000000003</v>
      </c>
    </row>
    <row r="87" spans="1:9" x14ac:dyDescent="0.25">
      <c r="A87" s="110"/>
      <c r="B87" s="110"/>
      <c r="C87" s="110"/>
      <c r="D87" s="110"/>
      <c r="E87" s="110"/>
      <c r="F87" s="110"/>
      <c r="G87" s="110"/>
      <c r="H87" s="110"/>
      <c r="I87" s="125"/>
    </row>
    <row r="88" spans="1:9" x14ac:dyDescent="0.25">
      <c r="A88" s="156" t="s">
        <v>321</v>
      </c>
      <c r="B88" s="151"/>
      <c r="C88" s="151"/>
      <c r="D88" s="151"/>
      <c r="E88" s="151"/>
      <c r="F88" s="152"/>
      <c r="G88" s="111"/>
      <c r="H88" s="110"/>
      <c r="I88" s="110"/>
    </row>
    <row r="89" spans="1:9" x14ac:dyDescent="0.25">
      <c r="A89" s="161" t="s">
        <v>322</v>
      </c>
      <c r="B89" s="162"/>
      <c r="C89" s="162"/>
      <c r="D89" s="162"/>
      <c r="E89" s="162"/>
      <c r="F89" s="163"/>
      <c r="G89" s="111"/>
      <c r="H89" s="110"/>
      <c r="I89" s="110"/>
    </row>
    <row r="90" spans="1:9" x14ac:dyDescent="0.25">
      <c r="A90" s="161" t="s">
        <v>323</v>
      </c>
      <c r="B90" s="162"/>
      <c r="C90" s="162"/>
      <c r="D90" s="162"/>
      <c r="E90" s="162"/>
      <c r="F90" s="163"/>
      <c r="G90" s="111"/>
      <c r="H90" s="110"/>
      <c r="I90" s="110"/>
    </row>
    <row r="91" spans="1:9" x14ac:dyDescent="0.25">
      <c r="A91" s="164" t="s">
        <v>324</v>
      </c>
      <c r="B91" s="162"/>
      <c r="C91" s="162"/>
      <c r="D91" s="162"/>
      <c r="E91" s="162"/>
      <c r="F91" s="163"/>
      <c r="G91" s="111"/>
      <c r="H91" s="110"/>
      <c r="I91" s="110"/>
    </row>
    <row r="92" spans="1:9" x14ac:dyDescent="0.25">
      <c r="A92" s="164" t="s">
        <v>325</v>
      </c>
      <c r="B92" s="162"/>
      <c r="C92" s="162"/>
      <c r="D92" s="162"/>
      <c r="E92" s="162"/>
      <c r="F92" s="163"/>
      <c r="G92" s="111"/>
      <c r="H92" s="110"/>
      <c r="I92" s="110"/>
    </row>
    <row r="93" spans="1:9" x14ac:dyDescent="0.25">
      <c r="A93" s="164" t="s">
        <v>326</v>
      </c>
      <c r="B93" s="162"/>
      <c r="C93" s="162"/>
      <c r="D93" s="162"/>
      <c r="E93" s="162"/>
      <c r="F93" s="163"/>
      <c r="G93" s="111"/>
      <c r="H93" s="110"/>
      <c r="I93" s="110"/>
    </row>
    <row r="94" spans="1:9" x14ac:dyDescent="0.25">
      <c r="A94" s="164" t="s">
        <v>327</v>
      </c>
      <c r="B94" s="162"/>
      <c r="C94" s="162"/>
      <c r="D94" s="162"/>
      <c r="E94" s="162"/>
      <c r="F94" s="163"/>
      <c r="G94" s="111"/>
      <c r="H94" s="110"/>
      <c r="I94" s="110"/>
    </row>
    <row r="95" spans="1:9" x14ac:dyDescent="0.25">
      <c r="A95" s="158"/>
      <c r="B95" s="151"/>
      <c r="C95" s="151"/>
      <c r="D95" s="151"/>
      <c r="E95" s="151"/>
      <c r="F95" s="152"/>
      <c r="G95" s="111"/>
      <c r="H95" s="110"/>
      <c r="I95" s="110"/>
    </row>
    <row r="96" spans="1:9" x14ac:dyDescent="0.25">
      <c r="A96" s="153"/>
      <c r="B96" s="151"/>
      <c r="C96" s="151"/>
      <c r="D96" s="151"/>
      <c r="E96" s="151"/>
      <c r="F96" s="152"/>
      <c r="G96" s="111"/>
      <c r="H96" s="110"/>
      <c r="I96" s="110"/>
    </row>
    <row r="97" spans="1:9" x14ac:dyDescent="0.25">
      <c r="A97" s="153"/>
      <c r="B97" s="151"/>
      <c r="C97" s="151"/>
      <c r="D97" s="151"/>
      <c r="E97" s="151"/>
      <c r="F97" s="152"/>
      <c r="G97" s="111"/>
      <c r="H97" s="110"/>
      <c r="I97" s="110"/>
    </row>
    <row r="98" spans="1:9" x14ac:dyDescent="0.25">
      <c r="A98" s="153"/>
      <c r="B98" s="151"/>
      <c r="C98" s="151"/>
      <c r="D98" s="151"/>
      <c r="E98" s="151"/>
      <c r="F98" s="152"/>
      <c r="G98" s="111"/>
      <c r="H98" s="110"/>
      <c r="I98" s="110"/>
    </row>
    <row r="99" spans="1:9" x14ac:dyDescent="0.25">
      <c r="A99" s="153"/>
      <c r="B99" s="151"/>
      <c r="C99" s="151"/>
      <c r="D99" s="151"/>
      <c r="E99" s="151"/>
      <c r="F99" s="152"/>
      <c r="G99" s="111"/>
      <c r="H99" s="110"/>
      <c r="I99" s="110"/>
    </row>
    <row r="100" spans="1:9" x14ac:dyDescent="0.25">
      <c r="A100" s="153"/>
      <c r="B100" s="151"/>
      <c r="C100" s="151"/>
      <c r="D100" s="151"/>
      <c r="E100" s="151"/>
      <c r="F100" s="152"/>
      <c r="G100" s="111"/>
      <c r="H100" s="110"/>
      <c r="I100" s="110"/>
    </row>
    <row r="101" spans="1:9" x14ac:dyDescent="0.25">
      <c r="A101" s="154"/>
      <c r="B101" s="155"/>
      <c r="C101" s="155"/>
      <c r="D101" s="155"/>
      <c r="E101" s="155"/>
      <c r="F101" s="155"/>
      <c r="G101" s="111"/>
      <c r="H101" s="110"/>
      <c r="I101" s="110"/>
    </row>
    <row r="102" spans="1:9" x14ac:dyDescent="0.25">
      <c r="A102" s="156" t="s">
        <v>47</v>
      </c>
      <c r="B102" s="151"/>
      <c r="C102" s="151"/>
      <c r="D102" s="151"/>
      <c r="E102" s="151"/>
      <c r="F102" s="152"/>
      <c r="G102" s="111"/>
      <c r="H102" s="110"/>
      <c r="I102" s="110"/>
    </row>
    <row r="103" spans="1:9" x14ac:dyDescent="0.25">
      <c r="A103" s="157" t="s">
        <v>328</v>
      </c>
      <c r="B103" s="151"/>
      <c r="C103" s="151"/>
      <c r="D103" s="151"/>
      <c r="E103" s="151"/>
      <c r="F103" s="152"/>
      <c r="G103" s="111"/>
      <c r="H103" s="110"/>
      <c r="I103" s="110"/>
    </row>
    <row r="104" spans="1:9" x14ac:dyDescent="0.25">
      <c r="A104" s="150" t="s">
        <v>329</v>
      </c>
      <c r="B104" s="151"/>
      <c r="C104" s="151"/>
      <c r="D104" s="151"/>
      <c r="E104" s="151"/>
      <c r="F104" s="152"/>
      <c r="G104" s="111"/>
      <c r="H104" s="110"/>
      <c r="I104" s="110"/>
    </row>
    <row r="105" spans="1:9" x14ac:dyDescent="0.25">
      <c r="A105" s="150" t="s">
        <v>330</v>
      </c>
      <c r="B105" s="151"/>
      <c r="C105" s="151"/>
      <c r="D105" s="151"/>
      <c r="E105" s="151"/>
      <c r="F105" s="152"/>
      <c r="G105" s="111"/>
      <c r="H105" s="110"/>
      <c r="I105" s="110"/>
    </row>
    <row r="106" spans="1:9" x14ac:dyDescent="0.25">
      <c r="A106" s="150" t="s">
        <v>331</v>
      </c>
      <c r="B106" s="151"/>
      <c r="C106" s="151"/>
      <c r="D106" s="151"/>
      <c r="E106" s="151"/>
      <c r="F106" s="152"/>
      <c r="G106" s="111"/>
      <c r="H106" s="110"/>
      <c r="I106" s="110"/>
    </row>
    <row r="107" spans="1:9" x14ac:dyDescent="0.25">
      <c r="A107" s="150" t="s">
        <v>332</v>
      </c>
      <c r="B107" s="151"/>
      <c r="C107" s="151"/>
      <c r="D107" s="151"/>
      <c r="E107" s="151"/>
      <c r="F107" s="152"/>
      <c r="G107" s="111"/>
      <c r="H107" s="110"/>
      <c r="I107" s="110"/>
    </row>
    <row r="108" spans="1:9" x14ac:dyDescent="0.25">
      <c r="A108" s="150" t="s">
        <v>333</v>
      </c>
      <c r="B108" s="151"/>
      <c r="C108" s="151"/>
      <c r="D108" s="151"/>
      <c r="E108" s="151"/>
      <c r="F108" s="152"/>
      <c r="G108" s="111"/>
      <c r="H108" s="110"/>
      <c r="I108" s="110"/>
    </row>
    <row r="109" spans="1:9" x14ac:dyDescent="0.25">
      <c r="A109" s="150" t="s">
        <v>334</v>
      </c>
      <c r="B109" s="151"/>
      <c r="C109" s="151"/>
      <c r="D109" s="151"/>
      <c r="E109" s="151"/>
      <c r="F109" s="152"/>
      <c r="G109" s="111"/>
      <c r="H109" s="110"/>
      <c r="I109" s="110"/>
    </row>
    <row r="110" spans="1:9" x14ac:dyDescent="0.25">
      <c r="A110" s="150" t="s">
        <v>335</v>
      </c>
      <c r="B110" s="151"/>
      <c r="C110" s="151"/>
      <c r="D110" s="151"/>
      <c r="E110" s="151"/>
      <c r="F110" s="152"/>
      <c r="G110" s="111"/>
      <c r="H110" s="110"/>
      <c r="I110" s="110"/>
    </row>
    <row r="111" spans="1:9" x14ac:dyDescent="0.25">
      <c r="A111" s="150" t="s">
        <v>336</v>
      </c>
      <c r="B111" s="151"/>
      <c r="C111" s="151"/>
      <c r="D111" s="151"/>
      <c r="E111" s="151"/>
      <c r="F111" s="152"/>
      <c r="G111" s="111"/>
      <c r="H111" s="110"/>
      <c r="I111" s="110"/>
    </row>
    <row r="112" spans="1:9" x14ac:dyDescent="0.25">
      <c r="A112" s="150" t="s">
        <v>337</v>
      </c>
      <c r="B112" s="151"/>
      <c r="C112" s="151"/>
      <c r="D112" s="151"/>
      <c r="E112" s="151"/>
      <c r="F112" s="152"/>
      <c r="G112" s="111"/>
      <c r="H112" s="110"/>
      <c r="I112" s="110"/>
    </row>
    <row r="113" spans="1:9" x14ac:dyDescent="0.25">
      <c r="A113" s="150" t="s">
        <v>338</v>
      </c>
      <c r="B113" s="151"/>
      <c r="C113" s="151"/>
      <c r="D113" s="151"/>
      <c r="E113" s="151"/>
      <c r="F113" s="152"/>
      <c r="G113" s="111"/>
      <c r="H113" s="110"/>
      <c r="I113" s="110"/>
    </row>
    <row r="114" spans="1:9" x14ac:dyDescent="0.25">
      <c r="A114" s="150" t="s">
        <v>339</v>
      </c>
      <c r="B114" s="151"/>
      <c r="C114" s="151"/>
      <c r="D114" s="151"/>
      <c r="E114" s="151"/>
      <c r="F114" s="152"/>
      <c r="G114" s="111"/>
      <c r="H114" s="110"/>
      <c r="I114" s="110"/>
    </row>
    <row r="115" spans="1:9" x14ac:dyDescent="0.25">
      <c r="A115" s="150" t="s">
        <v>340</v>
      </c>
      <c r="B115" s="151"/>
      <c r="C115" s="151"/>
      <c r="D115" s="151"/>
      <c r="E115" s="151"/>
      <c r="F115" s="152"/>
      <c r="G115" s="111"/>
      <c r="H115" s="110"/>
      <c r="I115" s="110"/>
    </row>
    <row r="116" spans="1:9" x14ac:dyDescent="0.25">
      <c r="A116" s="150" t="s">
        <v>341</v>
      </c>
      <c r="B116" s="151"/>
      <c r="C116" s="151"/>
      <c r="D116" s="151"/>
      <c r="E116" s="151"/>
      <c r="F116" s="152"/>
      <c r="G116" s="111"/>
      <c r="H116" s="110"/>
      <c r="I116" s="110"/>
    </row>
    <row r="117" spans="1:9" x14ac:dyDescent="0.25">
      <c r="A117" s="150" t="s">
        <v>342</v>
      </c>
      <c r="B117" s="151"/>
      <c r="C117" s="151"/>
      <c r="D117" s="151"/>
      <c r="E117" s="151"/>
      <c r="F117" s="152"/>
      <c r="G117" s="111"/>
      <c r="H117" s="110"/>
      <c r="I117" s="110"/>
    </row>
    <row r="118" spans="1:9" x14ac:dyDescent="0.25">
      <c r="A118" s="150" t="s">
        <v>343</v>
      </c>
      <c r="B118" s="151"/>
      <c r="C118" s="151"/>
      <c r="D118" s="151"/>
      <c r="E118" s="151"/>
      <c r="F118" s="152"/>
      <c r="G118" s="111"/>
      <c r="H118" s="110"/>
      <c r="I118" s="110"/>
    </row>
    <row r="119" spans="1:9" x14ac:dyDescent="0.25">
      <c r="A119" s="150" t="s">
        <v>344</v>
      </c>
      <c r="B119" s="151"/>
      <c r="C119" s="151"/>
      <c r="D119" s="151"/>
      <c r="E119" s="151"/>
      <c r="F119" s="152"/>
      <c r="G119" s="111"/>
      <c r="H119" s="110"/>
      <c r="I119" s="110"/>
    </row>
    <row r="120" spans="1:9" x14ac:dyDescent="0.25">
      <c r="A120" s="150" t="s">
        <v>345</v>
      </c>
      <c r="B120" s="151"/>
      <c r="C120" s="151"/>
      <c r="D120" s="151"/>
      <c r="E120" s="151"/>
      <c r="F120" s="152"/>
      <c r="G120" s="111"/>
      <c r="H120" s="110"/>
      <c r="I120" s="110"/>
    </row>
    <row r="121" spans="1:9" x14ac:dyDescent="0.25">
      <c r="A121" s="150" t="s">
        <v>346</v>
      </c>
      <c r="B121" s="151"/>
      <c r="C121" s="151"/>
      <c r="D121" s="151"/>
      <c r="E121" s="151"/>
      <c r="F121" s="152"/>
      <c r="G121" s="111"/>
      <c r="H121" s="110"/>
      <c r="I121" s="110"/>
    </row>
    <row r="122" spans="1:9" x14ac:dyDescent="0.25">
      <c r="A122" s="150" t="s">
        <v>347</v>
      </c>
      <c r="B122" s="151"/>
      <c r="C122" s="151"/>
      <c r="D122" s="151"/>
      <c r="E122" s="151"/>
      <c r="F122" s="152"/>
      <c r="G122" s="111"/>
      <c r="H122" s="110"/>
      <c r="I122" s="110"/>
    </row>
    <row r="123" spans="1:9" x14ac:dyDescent="0.25">
      <c r="A123" s="150" t="s">
        <v>348</v>
      </c>
      <c r="B123" s="151"/>
      <c r="C123" s="151"/>
      <c r="D123" s="151"/>
      <c r="E123" s="151"/>
      <c r="F123" s="152"/>
      <c r="G123" s="111"/>
      <c r="H123" s="110"/>
      <c r="I123" s="110"/>
    </row>
    <row r="124" spans="1:9" x14ac:dyDescent="0.25">
      <c r="A124" s="150" t="s">
        <v>349</v>
      </c>
      <c r="B124" s="151"/>
      <c r="C124" s="151"/>
      <c r="D124" s="151"/>
      <c r="E124" s="151"/>
      <c r="F124" s="152"/>
      <c r="G124" s="111"/>
      <c r="H124" s="110"/>
      <c r="I124" s="110"/>
    </row>
    <row r="125" spans="1:9" x14ac:dyDescent="0.25">
      <c r="A125" s="150" t="s">
        <v>350</v>
      </c>
      <c r="B125" s="151"/>
      <c r="C125" s="151"/>
      <c r="D125" s="151"/>
      <c r="E125" s="151"/>
      <c r="F125" s="152"/>
      <c r="G125" s="111"/>
      <c r="H125" s="110"/>
      <c r="I125" s="110"/>
    </row>
    <row r="126" spans="1:9" x14ac:dyDescent="0.25">
      <c r="A126" s="150" t="s">
        <v>351</v>
      </c>
      <c r="B126" s="151"/>
      <c r="C126" s="151"/>
      <c r="D126" s="151"/>
      <c r="E126" s="151"/>
      <c r="F126" s="152"/>
      <c r="G126" s="111"/>
      <c r="H126" s="110"/>
      <c r="I126" s="110"/>
    </row>
    <row r="127" spans="1:9" x14ac:dyDescent="0.25">
      <c r="A127" s="150" t="s">
        <v>352</v>
      </c>
      <c r="B127" s="151"/>
      <c r="C127" s="151"/>
      <c r="D127" s="151"/>
      <c r="E127" s="151"/>
      <c r="F127" s="152"/>
      <c r="G127" s="111"/>
      <c r="H127" s="110"/>
      <c r="I127" s="110"/>
    </row>
    <row r="128" spans="1:9" x14ac:dyDescent="0.25">
      <c r="A128" s="150" t="s">
        <v>353</v>
      </c>
      <c r="B128" s="151"/>
      <c r="C128" s="151"/>
      <c r="D128" s="151"/>
      <c r="E128" s="151"/>
      <c r="F128" s="152"/>
      <c r="G128" s="111"/>
      <c r="H128" s="110"/>
      <c r="I128" s="110"/>
    </row>
    <row r="129" spans="1:9" x14ac:dyDescent="0.25">
      <c r="A129" s="150" t="s">
        <v>354</v>
      </c>
      <c r="B129" s="151"/>
      <c r="C129" s="151"/>
      <c r="D129" s="151"/>
      <c r="E129" s="151"/>
      <c r="F129" s="152"/>
      <c r="G129" s="111"/>
      <c r="H129" s="110"/>
      <c r="I129" s="110"/>
    </row>
    <row r="130" spans="1:9" x14ac:dyDescent="0.25">
      <c r="A130" s="150" t="s">
        <v>355</v>
      </c>
      <c r="B130" s="151"/>
      <c r="C130" s="151"/>
      <c r="D130" s="151"/>
      <c r="E130" s="151"/>
      <c r="F130" s="152"/>
      <c r="G130" s="111"/>
      <c r="H130" s="110"/>
      <c r="I130" s="110"/>
    </row>
    <row r="131" spans="1:9" x14ac:dyDescent="0.25">
      <c r="A131" s="150" t="s">
        <v>356</v>
      </c>
      <c r="B131" s="151"/>
      <c r="C131" s="151"/>
      <c r="D131" s="151"/>
      <c r="E131" s="151"/>
      <c r="F131" s="152"/>
      <c r="G131" s="111"/>
      <c r="H131" s="110"/>
      <c r="I131" s="110"/>
    </row>
    <row r="132" spans="1:9" x14ac:dyDescent="0.25">
      <c r="A132" s="150" t="s">
        <v>357</v>
      </c>
      <c r="B132" s="151"/>
      <c r="C132" s="151"/>
      <c r="D132" s="151"/>
      <c r="E132" s="151"/>
      <c r="F132" s="152"/>
      <c r="G132" s="111"/>
      <c r="H132" s="110"/>
      <c r="I132" s="110"/>
    </row>
    <row r="133" spans="1:9" x14ac:dyDescent="0.25">
      <c r="A133" s="150" t="s">
        <v>358</v>
      </c>
      <c r="B133" s="151"/>
      <c r="C133" s="151"/>
      <c r="D133" s="151"/>
      <c r="E133" s="151"/>
      <c r="F133" s="152"/>
      <c r="G133" s="111"/>
      <c r="H133" s="110"/>
      <c r="I133" s="110"/>
    </row>
    <row r="134" spans="1:9" x14ac:dyDescent="0.25">
      <c r="A134" s="150" t="s">
        <v>359</v>
      </c>
      <c r="B134" s="151"/>
      <c r="C134" s="151"/>
      <c r="D134" s="151"/>
      <c r="E134" s="151"/>
      <c r="F134" s="152"/>
      <c r="G134" s="111"/>
      <c r="H134" s="110"/>
      <c r="I134" s="110"/>
    </row>
    <row r="135" spans="1:9" x14ac:dyDescent="0.25">
      <c r="A135" s="150" t="s">
        <v>360</v>
      </c>
      <c r="B135" s="151"/>
      <c r="C135" s="151"/>
      <c r="D135" s="151"/>
      <c r="E135" s="151"/>
      <c r="F135" s="152"/>
      <c r="G135" s="111"/>
      <c r="H135" s="110"/>
      <c r="I135" s="110"/>
    </row>
    <row r="136" spans="1:9" x14ac:dyDescent="0.25">
      <c r="A136" s="150" t="s">
        <v>361</v>
      </c>
      <c r="B136" s="151"/>
      <c r="C136" s="151"/>
      <c r="D136" s="151"/>
      <c r="E136" s="151"/>
      <c r="F136" s="152"/>
      <c r="G136" s="111"/>
      <c r="H136" s="110"/>
      <c r="I136" s="110"/>
    </row>
    <row r="137" spans="1:9" x14ac:dyDescent="0.25">
      <c r="A137" s="150" t="s">
        <v>362</v>
      </c>
      <c r="B137" s="151"/>
      <c r="C137" s="151"/>
      <c r="D137" s="151"/>
      <c r="E137" s="151"/>
      <c r="F137" s="152"/>
      <c r="G137" s="111"/>
      <c r="H137" s="110"/>
      <c r="I137" s="110"/>
    </row>
    <row r="138" spans="1:9" x14ac:dyDescent="0.25">
      <c r="A138" s="150" t="s">
        <v>363</v>
      </c>
      <c r="B138" s="151"/>
      <c r="C138" s="151"/>
      <c r="D138" s="151"/>
      <c r="E138" s="151"/>
      <c r="F138" s="152"/>
      <c r="G138" s="111"/>
      <c r="H138" s="110"/>
      <c r="I138" s="110"/>
    </row>
    <row r="139" spans="1:9" x14ac:dyDescent="0.25">
      <c r="A139" s="150" t="s">
        <v>364</v>
      </c>
      <c r="B139" s="151"/>
      <c r="C139" s="151"/>
      <c r="D139" s="151"/>
      <c r="E139" s="151"/>
      <c r="F139" s="152"/>
      <c r="G139" s="111"/>
      <c r="H139" s="110"/>
      <c r="I139" s="110"/>
    </row>
    <row r="140" spans="1:9" x14ac:dyDescent="0.25">
      <c r="A140" s="150" t="s">
        <v>365</v>
      </c>
      <c r="B140" s="151"/>
      <c r="C140" s="151"/>
      <c r="D140" s="151"/>
      <c r="E140" s="151"/>
      <c r="F140" s="152"/>
      <c r="G140" s="111"/>
      <c r="H140" s="110"/>
      <c r="I140" s="110"/>
    </row>
    <row r="141" spans="1:9" x14ac:dyDescent="0.25">
      <c r="A141" s="150" t="s">
        <v>366</v>
      </c>
      <c r="B141" s="151"/>
      <c r="C141" s="151"/>
      <c r="D141" s="151"/>
      <c r="E141" s="151"/>
      <c r="F141" s="152"/>
      <c r="G141" s="111"/>
      <c r="H141" s="110"/>
      <c r="I141" s="110"/>
    </row>
    <row r="142" spans="1:9" x14ac:dyDescent="0.25">
      <c r="A142" s="150" t="s">
        <v>367</v>
      </c>
      <c r="B142" s="151"/>
      <c r="C142" s="151"/>
      <c r="D142" s="151"/>
      <c r="E142" s="151"/>
      <c r="F142" s="152"/>
      <c r="G142" s="111"/>
      <c r="H142" s="110"/>
      <c r="I142" s="110"/>
    </row>
    <row r="143" spans="1:9" x14ac:dyDescent="0.25">
      <c r="A143" s="150" t="s">
        <v>368</v>
      </c>
      <c r="B143" s="151"/>
      <c r="C143" s="151"/>
      <c r="D143" s="151"/>
      <c r="E143" s="151"/>
      <c r="F143" s="152"/>
      <c r="G143" s="111"/>
      <c r="H143" s="110"/>
      <c r="I143" s="110"/>
    </row>
    <row r="144" spans="1:9" x14ac:dyDescent="0.25">
      <c r="A144" s="150" t="s">
        <v>369</v>
      </c>
      <c r="B144" s="151"/>
      <c r="C144" s="151"/>
      <c r="D144" s="151"/>
      <c r="E144" s="151"/>
      <c r="F144" s="152"/>
      <c r="G144" s="126"/>
      <c r="H144" s="126"/>
      <c r="I144" s="126"/>
    </row>
    <row r="145" spans="1:9" x14ac:dyDescent="0.25">
      <c r="A145" s="150" t="s">
        <v>370</v>
      </c>
      <c r="B145" s="151"/>
      <c r="C145" s="151"/>
      <c r="D145" s="151"/>
      <c r="E145" s="151"/>
      <c r="F145" s="152"/>
      <c r="G145" s="126"/>
      <c r="H145" s="126"/>
      <c r="I145" s="126"/>
    </row>
    <row r="146" spans="1:9" x14ac:dyDescent="0.25">
      <c r="A146" s="150" t="s">
        <v>371</v>
      </c>
      <c r="B146" s="151"/>
      <c r="C146" s="151"/>
      <c r="D146" s="151"/>
      <c r="E146" s="151"/>
      <c r="F146" s="152"/>
      <c r="G146" s="126"/>
      <c r="H146" s="126"/>
      <c r="I146" s="126"/>
    </row>
    <row r="147" spans="1:9" x14ac:dyDescent="0.25">
      <c r="A147" s="150" t="s">
        <v>372</v>
      </c>
      <c r="B147" s="151"/>
      <c r="C147" s="151"/>
      <c r="D147" s="151"/>
      <c r="E147" s="151"/>
      <c r="F147" s="152"/>
      <c r="G147" s="126"/>
      <c r="H147" s="126"/>
      <c r="I147" s="126"/>
    </row>
    <row r="148" spans="1:9" x14ac:dyDescent="0.25">
      <c r="A148" s="150" t="s">
        <v>373</v>
      </c>
      <c r="B148" s="151"/>
      <c r="C148" s="151"/>
      <c r="D148" s="151"/>
      <c r="E148" s="151"/>
      <c r="F148" s="152"/>
      <c r="G148" s="126"/>
      <c r="H148" s="126"/>
      <c r="I148" s="126"/>
    </row>
    <row r="149" spans="1:9" x14ac:dyDescent="0.25">
      <c r="A149" s="150" t="s">
        <v>374</v>
      </c>
      <c r="B149" s="151"/>
      <c r="C149" s="151"/>
      <c r="D149" s="151"/>
      <c r="E149" s="151"/>
      <c r="F149" s="152"/>
      <c r="G149" s="126"/>
      <c r="H149" s="126"/>
      <c r="I149" s="126"/>
    </row>
    <row r="150" spans="1:9" x14ac:dyDescent="0.25">
      <c r="A150" s="150" t="s">
        <v>375</v>
      </c>
      <c r="B150" s="151"/>
      <c r="C150" s="151"/>
      <c r="D150" s="151"/>
      <c r="E150" s="151"/>
      <c r="F150" s="152"/>
      <c r="G150" s="126"/>
      <c r="H150" s="126"/>
      <c r="I150" s="126"/>
    </row>
    <row r="151" spans="1:9" x14ac:dyDescent="0.25">
      <c r="A151" s="150" t="s">
        <v>376</v>
      </c>
      <c r="B151" s="151"/>
      <c r="C151" s="151"/>
      <c r="D151" s="151"/>
      <c r="E151" s="151"/>
      <c r="F151" s="152"/>
      <c r="G151" s="126"/>
      <c r="H151" s="126"/>
      <c r="I151" s="126"/>
    </row>
    <row r="152" spans="1:9" x14ac:dyDescent="0.25">
      <c r="A152" s="150" t="s">
        <v>377</v>
      </c>
      <c r="B152" s="151"/>
      <c r="C152" s="151"/>
      <c r="D152" s="151"/>
      <c r="E152" s="151"/>
      <c r="F152" s="152"/>
      <c r="G152" s="126"/>
      <c r="H152" s="126"/>
      <c r="I152" s="126"/>
    </row>
    <row r="153" spans="1:9" x14ac:dyDescent="0.25">
      <c r="A153" s="150" t="s">
        <v>378</v>
      </c>
      <c r="B153" s="151"/>
      <c r="C153" s="151"/>
      <c r="D153" s="151"/>
      <c r="E153" s="151"/>
      <c r="F153" s="152"/>
      <c r="G153" s="126"/>
      <c r="H153" s="126"/>
      <c r="I153" s="126"/>
    </row>
    <row r="154" spans="1:9" x14ac:dyDescent="0.25">
      <c r="A154" s="150" t="s">
        <v>379</v>
      </c>
      <c r="B154" s="151"/>
      <c r="C154" s="151"/>
      <c r="D154" s="151"/>
      <c r="E154" s="151"/>
      <c r="F154" s="152"/>
      <c r="G154" s="126"/>
      <c r="H154" s="126"/>
      <c r="I154" s="126"/>
    </row>
    <row r="155" spans="1:9" x14ac:dyDescent="0.25">
      <c r="A155" s="150" t="s">
        <v>380</v>
      </c>
      <c r="B155" s="151"/>
      <c r="C155" s="151"/>
      <c r="D155" s="151"/>
      <c r="E155" s="151"/>
      <c r="F155" s="152"/>
      <c r="G155" s="126"/>
      <c r="H155" s="126"/>
      <c r="I155" s="126"/>
    </row>
    <row r="156" spans="1:9" x14ac:dyDescent="0.25">
      <c r="A156" s="150" t="s">
        <v>381</v>
      </c>
      <c r="B156" s="151"/>
      <c r="C156" s="151"/>
      <c r="D156" s="151"/>
      <c r="E156" s="151"/>
      <c r="F156" s="152"/>
      <c r="G156" s="126"/>
      <c r="H156" s="126"/>
      <c r="I156" s="126"/>
    </row>
    <row r="157" spans="1:9" x14ac:dyDescent="0.25">
      <c r="A157" s="150" t="s">
        <v>382</v>
      </c>
      <c r="B157" s="151"/>
      <c r="C157" s="151"/>
      <c r="D157" s="151"/>
      <c r="E157" s="151"/>
      <c r="F157" s="152"/>
      <c r="G157" s="126"/>
      <c r="H157" s="126"/>
      <c r="I157" s="126"/>
    </row>
    <row r="158" spans="1:9" x14ac:dyDescent="0.25">
      <c r="A158" s="150" t="s">
        <v>383</v>
      </c>
      <c r="B158" s="151"/>
      <c r="C158" s="151"/>
      <c r="D158" s="151"/>
      <c r="E158" s="151"/>
      <c r="F158" s="152"/>
      <c r="G158" s="126"/>
      <c r="H158" s="126"/>
      <c r="I158" s="126"/>
    </row>
    <row r="159" spans="1:9" x14ac:dyDescent="0.25">
      <c r="A159" s="150" t="s">
        <v>384</v>
      </c>
      <c r="B159" s="151"/>
      <c r="C159" s="151"/>
      <c r="D159" s="151"/>
      <c r="E159" s="151"/>
      <c r="F159" s="152"/>
      <c r="G159" s="126"/>
      <c r="H159" s="126"/>
      <c r="I159" s="126"/>
    </row>
    <row r="160" spans="1:9" x14ac:dyDescent="0.25">
      <c r="A160" s="150" t="s">
        <v>385</v>
      </c>
      <c r="B160" s="151"/>
      <c r="C160" s="151"/>
      <c r="D160" s="151"/>
      <c r="E160" s="151"/>
      <c r="F160" s="152"/>
      <c r="G160" s="126"/>
      <c r="H160" s="126"/>
      <c r="I160" s="126"/>
    </row>
    <row r="161" spans="1:9" x14ac:dyDescent="0.25">
      <c r="A161" s="150" t="s">
        <v>386</v>
      </c>
      <c r="B161" s="151"/>
      <c r="C161" s="151"/>
      <c r="D161" s="151"/>
      <c r="E161" s="151"/>
      <c r="F161" s="152"/>
      <c r="G161" s="126"/>
      <c r="H161" s="126"/>
      <c r="I161" s="126"/>
    </row>
    <row r="162" spans="1:9" x14ac:dyDescent="0.25">
      <c r="A162" s="150" t="s">
        <v>387</v>
      </c>
      <c r="B162" s="151"/>
      <c r="C162" s="151"/>
      <c r="D162" s="151"/>
      <c r="E162" s="151"/>
      <c r="F162" s="152"/>
      <c r="G162" s="126"/>
      <c r="H162" s="126"/>
      <c r="I162" s="126"/>
    </row>
    <row r="163" spans="1:9" x14ac:dyDescent="0.25">
      <c r="A163" s="150" t="s">
        <v>388</v>
      </c>
      <c r="B163" s="151"/>
      <c r="C163" s="151"/>
      <c r="D163" s="151"/>
      <c r="E163" s="151"/>
      <c r="F163" s="152"/>
      <c r="G163" s="126"/>
      <c r="H163" s="126"/>
      <c r="I163" s="126"/>
    </row>
    <row r="164" spans="1:9" x14ac:dyDescent="0.25">
      <c r="A164" s="127"/>
      <c r="B164" s="128"/>
      <c r="C164" s="128"/>
      <c r="D164" s="128"/>
      <c r="E164" s="128"/>
      <c r="F164" s="128"/>
      <c r="G164" s="126"/>
      <c r="H164" s="126"/>
      <c r="I164" s="126"/>
    </row>
  </sheetData>
  <mergeCells count="80">
    <mergeCell ref="A95:F95"/>
    <mergeCell ref="B1:J1"/>
    <mergeCell ref="A2:J2"/>
    <mergeCell ref="A25:I25"/>
    <mergeCell ref="A39:I39"/>
    <mergeCell ref="A88:F88"/>
    <mergeCell ref="A89:F89"/>
    <mergeCell ref="A90:F90"/>
    <mergeCell ref="A91:F91"/>
    <mergeCell ref="A92:F92"/>
    <mergeCell ref="A93:F93"/>
    <mergeCell ref="A94:F94"/>
    <mergeCell ref="A107:F107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19:F119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31:F131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43:F143"/>
    <mergeCell ref="A132:F132"/>
    <mergeCell ref="A133:F133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55:F155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2:F162"/>
    <mergeCell ref="A163:F163"/>
    <mergeCell ref="A156:F156"/>
    <mergeCell ref="A157:F157"/>
    <mergeCell ref="A158:F158"/>
    <mergeCell ref="A159:F159"/>
    <mergeCell ref="A160:F160"/>
    <mergeCell ref="A161:F161"/>
  </mergeCells>
  <dataValidations count="4">
    <dataValidation type="list" allowBlank="1" sqref="D41:D75 D4:D10 D27:D30" xr:uid="{6E47BE62-77B0-4992-9E26-632EE99139ED}">
      <formula1>"AGP,CLH,CLT,COM,CTD,CTI,DES,DISP,ELE,ESG,EST,EXM,EXQ,EXR,FRQ,REV,VAGO"</formula1>
    </dataValidation>
    <dataValidation type="list" allowBlank="1" sqref="B41:B75" xr:uid="{9C8F850D-90F5-4722-A753-6D9EA79EFF02}">
      <formula1>"FGS-1,FGS-2,FGS-3,FGA-1,FGA-2,FGA-3"</formula1>
    </dataValidation>
    <dataValidation type="list" allowBlank="1" sqref="B27:B30" xr:uid="{4FAE5A4C-AFBD-4CB4-A4AA-4B8B1D4F5784}">
      <formula1>"FDA,FDA-1,FDA-2,FDA-3,FDA-4"</formula1>
    </dataValidation>
    <dataValidation type="list" allowBlank="1" sqref="B4:B10" xr:uid="{10715E9A-930B-4751-81B6-12AA146C3448}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2022</vt:lpstr>
      <vt:lpstr>Fev 2022</vt:lpstr>
      <vt:lpstr>Mar 2022</vt:lpstr>
      <vt:lpstr>Abr 2022</vt:lpstr>
      <vt:lpstr>Mai 2022</vt:lpstr>
      <vt:lpstr>Jun 2022</vt:lpstr>
      <vt:lpstr>Jul-2022</vt:lpstr>
      <vt:lpstr>Ago-2022</vt:lpstr>
      <vt:lpstr>Set 2022</vt:lpstr>
      <vt:lpstr>Out 2022</vt:lpstr>
      <vt:lpstr>Nov-2022</vt:lpstr>
      <vt:lpstr>Dez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Aline Miranda</cp:lastModifiedBy>
  <cp:lastPrinted>2020-09-08T16:56:44Z</cp:lastPrinted>
  <dcterms:created xsi:type="dcterms:W3CDTF">2020-09-03T19:34:17Z</dcterms:created>
  <dcterms:modified xsi:type="dcterms:W3CDTF">2023-01-19T13:50:16Z</dcterms:modified>
</cp:coreProperties>
</file>